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Jo\Documents\Job\CloudStation\PKW\XLS programmes 19\"/>
    </mc:Choice>
  </mc:AlternateContent>
  <xr:revisionPtr revIDLastSave="0" documentId="13_ncr:1_{FBA98DEA-81C3-4597-A81F-D7D0D7A5DB9E}" xr6:coauthVersionLast="36" xr6:coauthVersionMax="36" xr10:uidLastSave="{00000000-0000-0000-0000-000000000000}"/>
  <workbookProtection workbookAlgorithmName="SHA-512" workbookHashValue="ckE0k/ASKaSSUMAvU2bn4JszDHe5+H4wGCWqiWzuurh50nwI/zbbIfNt2ObixrzkOZ4/BJuAMb9Sg+JAI9pJjg==" workbookSaltValue="6EHTHA5JcIcyZLwoMoa0Sw==" workbookSpinCount="100000" lockStructure="1"/>
  <bookViews>
    <workbookView xWindow="0" yWindow="0" windowWidth="21943" windowHeight="5957" tabRatio="815" xr2:uid="{00000000-000D-0000-FFFF-FFFF00000000}"/>
  </bookViews>
  <sheets>
    <sheet name="Menu" sheetId="53" r:id="rId1"/>
    <sheet name="00" sheetId="67" r:id="rId2"/>
    <sheet name="0" sheetId="79" r:id="rId3"/>
    <sheet name="1" sheetId="70" r:id="rId4"/>
    <sheet name="2" sheetId="54" r:id="rId5"/>
    <sheet name="3" sheetId="99" r:id="rId6"/>
    <sheet name="4" sheetId="100" r:id="rId7"/>
    <sheet name="5" sheetId="66" r:id="rId8"/>
    <sheet name="Ctrl" sheetId="101" state="hidden" r:id="rId9"/>
    <sheet name="Listes_techno" sheetId="105" state="hidden" r:id="rId10"/>
    <sheet name="Langues1" sheetId="106" state="hidden" r:id="rId11"/>
  </sheets>
  <definedNames>
    <definedName name="Liste_techno">Listes_techno!$B$3:$C$38</definedName>
    <definedName name="_xlnm.Print_Area" localSheetId="2">'0'!$A$1:$F$48</definedName>
    <definedName name="_xlnm.Print_Area" localSheetId="1">'00'!$A$1:$F$41</definedName>
    <definedName name="_xlnm.Print_Area" localSheetId="3">'1'!$A$1:$E$18</definedName>
    <definedName name="_xlnm.Print_Area" localSheetId="4">'2'!$A$1:$E$22</definedName>
    <definedName name="_xlnm.Print_Area" localSheetId="5">'3'!$A$1:$T$43</definedName>
    <definedName name="_xlnm.Print_Area" localSheetId="6">'4'!$A$1:$Q$32</definedName>
    <definedName name="_xlnm.Print_Area" localSheetId="7">'5'!$A$1:$E$17</definedName>
    <definedName name="_xlnm.Print_Area" localSheetId="0">Menu!$A$1:$F$41</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3" i="101" l="1"/>
  <c r="E25" i="67" s="1"/>
  <c r="B25" i="67"/>
  <c r="C699" i="106"/>
  <c r="B699" i="106"/>
  <c r="B29" i="105"/>
  <c r="B28" i="105"/>
  <c r="C698" i="106"/>
  <c r="B698" i="106"/>
  <c r="B36" i="105"/>
  <c r="C697" i="106"/>
  <c r="B697" i="106"/>
  <c r="E9" i="105"/>
  <c r="C696" i="106"/>
  <c r="B696" i="106"/>
  <c r="F17" i="70"/>
  <c r="F28" i="99" l="1"/>
  <c r="F29" i="99"/>
  <c r="F30" i="99"/>
  <c r="F31" i="99"/>
  <c r="F32" i="99"/>
  <c r="F33" i="99"/>
  <c r="F34" i="99"/>
  <c r="F27" i="99"/>
  <c r="K28" i="99" l="1"/>
  <c r="K29" i="99"/>
  <c r="K30" i="99"/>
  <c r="K31" i="99"/>
  <c r="K32" i="99"/>
  <c r="K33" i="99"/>
  <c r="K34" i="99"/>
  <c r="K27" i="99" l="1"/>
  <c r="P21" i="99" l="1"/>
  <c r="P38" i="99" s="1"/>
  <c r="B511" i="106" l="1"/>
  <c r="B512" i="106" s="1"/>
  <c r="B513" i="106" s="1"/>
  <c r="B514" i="106" s="1"/>
  <c r="B515" i="106" s="1"/>
  <c r="B516" i="106" s="1"/>
  <c r="B517" i="106" s="1"/>
  <c r="B518" i="106" s="1"/>
  <c r="B519" i="106" s="1"/>
  <c r="B520" i="106" s="1"/>
  <c r="B521" i="106" s="1"/>
  <c r="B522" i="106" s="1"/>
  <c r="B523" i="106" s="1"/>
  <c r="B524" i="106" s="1"/>
  <c r="B525" i="106" s="1"/>
  <c r="B526" i="106" s="1"/>
  <c r="B527" i="106" s="1"/>
  <c r="B528" i="106" s="1"/>
  <c r="B529" i="106" s="1"/>
  <c r="B530" i="106" s="1"/>
  <c r="B531" i="106" s="1"/>
  <c r="B532" i="106" s="1"/>
  <c r="B533" i="106" s="1"/>
  <c r="B534" i="106" s="1"/>
  <c r="B535" i="106" s="1"/>
  <c r="B536" i="106" s="1"/>
  <c r="B537" i="106" s="1"/>
  <c r="B538" i="106" s="1"/>
  <c r="B539" i="106" s="1"/>
  <c r="B540" i="106" s="1"/>
  <c r="B541" i="106" s="1"/>
  <c r="B542" i="106" s="1"/>
  <c r="B543" i="106" s="1"/>
  <c r="B544" i="106" s="1"/>
  <c r="B545" i="106" s="1"/>
  <c r="B546" i="106" s="1"/>
  <c r="B547" i="106" s="1"/>
  <c r="B548" i="106" s="1"/>
  <c r="B549" i="106" s="1"/>
  <c r="B550" i="106" s="1"/>
  <c r="B551" i="106" s="1"/>
  <c r="B552" i="106" s="1"/>
  <c r="B553" i="106" s="1"/>
  <c r="B554" i="106" s="1"/>
  <c r="B555" i="106" s="1"/>
  <c r="B556" i="106" s="1"/>
  <c r="B557" i="106" s="1"/>
  <c r="B558" i="106" s="1"/>
  <c r="B559" i="106" s="1"/>
  <c r="B560" i="106" s="1"/>
  <c r="B561" i="106" s="1"/>
  <c r="B562" i="106" s="1"/>
  <c r="B563" i="106" s="1"/>
  <c r="B564" i="106" s="1"/>
  <c r="B565" i="106" s="1"/>
  <c r="B566" i="106" s="1"/>
  <c r="B567" i="106" s="1"/>
  <c r="B568" i="106" s="1"/>
  <c r="B569" i="106" s="1"/>
  <c r="B570" i="106" s="1"/>
  <c r="B571" i="106" s="1"/>
  <c r="B572" i="106" s="1"/>
  <c r="B573" i="106" s="1"/>
  <c r="B574" i="106" s="1"/>
  <c r="B575" i="106" s="1"/>
  <c r="B576" i="106" s="1"/>
  <c r="B577" i="106" s="1"/>
  <c r="B578" i="106" s="1"/>
  <c r="B579" i="106" s="1"/>
  <c r="B580" i="106" s="1"/>
  <c r="B581" i="106" s="1"/>
  <c r="B582" i="106" s="1"/>
  <c r="B583" i="106" s="1"/>
  <c r="B584" i="106" s="1"/>
  <c r="B585" i="106" s="1"/>
  <c r="B586" i="106" s="1"/>
  <c r="B587" i="106" s="1"/>
  <c r="B588" i="106" s="1"/>
  <c r="B589" i="106" s="1"/>
  <c r="B590" i="106" s="1"/>
  <c r="B591" i="106" s="1"/>
  <c r="B592" i="106" s="1"/>
  <c r="B593" i="106" s="1"/>
  <c r="B594" i="106" s="1"/>
  <c r="B595" i="106" s="1"/>
  <c r="B596" i="106" s="1"/>
  <c r="B597" i="106" s="1"/>
  <c r="B598" i="106" s="1"/>
  <c r="B599" i="106" s="1"/>
  <c r="B600" i="106" s="1"/>
  <c r="B601" i="106" s="1"/>
  <c r="B602" i="106" s="1"/>
  <c r="B603" i="106" s="1"/>
  <c r="B604" i="106" s="1"/>
  <c r="B605" i="106" s="1"/>
  <c r="B606" i="106" s="1"/>
  <c r="B607" i="106" s="1"/>
  <c r="B608" i="106" s="1"/>
  <c r="B609" i="106" s="1"/>
  <c r="B610" i="106" s="1"/>
  <c r="B611" i="106" s="1"/>
  <c r="B612" i="106" s="1"/>
  <c r="B613" i="106" s="1"/>
  <c r="B614" i="106" s="1"/>
  <c r="B615" i="106" s="1"/>
  <c r="B616" i="106" s="1"/>
  <c r="B617" i="106" s="1"/>
  <c r="B618" i="106" s="1"/>
  <c r="B619" i="106" s="1"/>
  <c r="B620" i="106" s="1"/>
  <c r="B621" i="106" s="1"/>
  <c r="B622" i="106" s="1"/>
  <c r="B623" i="106" s="1"/>
  <c r="B624" i="106" s="1"/>
  <c r="B625" i="106" s="1"/>
  <c r="B626" i="106" s="1"/>
  <c r="B627" i="106" s="1"/>
  <c r="B628" i="106" s="1"/>
  <c r="B629" i="106" s="1"/>
  <c r="B630" i="106" s="1"/>
  <c r="B631" i="106" s="1"/>
  <c r="B632" i="106" s="1"/>
  <c r="B633" i="106" s="1"/>
  <c r="B634" i="106" s="1"/>
  <c r="B635" i="106" s="1"/>
  <c r="B636" i="106" s="1"/>
  <c r="B637" i="106" s="1"/>
  <c r="B638" i="106" s="1"/>
  <c r="B639" i="106" s="1"/>
  <c r="B640" i="106" s="1"/>
  <c r="B641" i="106" s="1"/>
  <c r="B642" i="106" s="1"/>
  <c r="B643" i="106" s="1"/>
  <c r="B644" i="106" s="1"/>
  <c r="B645" i="106" s="1"/>
  <c r="B646" i="106" s="1"/>
  <c r="B647" i="106" s="1"/>
  <c r="B648" i="106" s="1"/>
  <c r="B649" i="106" s="1"/>
  <c r="B650" i="106" s="1"/>
  <c r="B651" i="106" s="1"/>
  <c r="B652" i="106" s="1"/>
  <c r="B653" i="106" s="1"/>
  <c r="B654" i="106" s="1"/>
  <c r="B655" i="106" s="1"/>
  <c r="B656" i="106" s="1"/>
  <c r="B657" i="106" s="1"/>
  <c r="B658" i="106" s="1"/>
  <c r="B659" i="106" s="1"/>
  <c r="B660" i="106" s="1"/>
  <c r="B661" i="106" s="1"/>
  <c r="B662" i="106" s="1"/>
  <c r="B663" i="106" s="1"/>
  <c r="B664" i="106" s="1"/>
  <c r="B665" i="106" s="1"/>
  <c r="B666" i="106" s="1"/>
  <c r="B667" i="106" s="1"/>
  <c r="B668" i="106" s="1"/>
  <c r="B669" i="106" s="1"/>
  <c r="B670" i="106" s="1"/>
  <c r="B671" i="106" s="1"/>
  <c r="B672" i="106" s="1"/>
  <c r="B673" i="106" s="1"/>
  <c r="B674" i="106" s="1"/>
  <c r="B675" i="106" s="1"/>
  <c r="B676" i="106" s="1"/>
  <c r="B677" i="106" s="1"/>
  <c r="B678" i="106" s="1"/>
  <c r="B679" i="106" s="1"/>
  <c r="B680" i="106" s="1"/>
  <c r="B681" i="106" s="1"/>
  <c r="B682" i="106" s="1"/>
  <c r="B683" i="106" s="1"/>
  <c r="B684" i="106" s="1"/>
  <c r="B685" i="106" s="1"/>
  <c r="B686" i="106" s="1"/>
  <c r="B687" i="106" s="1"/>
  <c r="B688" i="106" s="1"/>
  <c r="B689" i="106" s="1"/>
  <c r="B690" i="106" s="1"/>
  <c r="B691" i="106" s="1"/>
  <c r="B692" i="106" s="1"/>
  <c r="B693" i="106" s="1"/>
  <c r="B694" i="106" s="1"/>
  <c r="B695" i="106" s="1"/>
  <c r="B5" i="106"/>
  <c r="B6" i="106" s="1"/>
  <c r="B7" i="106" s="1"/>
  <c r="B8" i="106" s="1"/>
  <c r="B9" i="106" s="1"/>
  <c r="B10" i="106" s="1"/>
  <c r="B11" i="106" s="1"/>
  <c r="B12" i="106" s="1"/>
  <c r="B13" i="106" s="1"/>
  <c r="B14" i="106" s="1"/>
  <c r="B15" i="106" s="1"/>
  <c r="B16" i="106" s="1"/>
  <c r="B17" i="106" s="1"/>
  <c r="B18" i="106" s="1"/>
  <c r="B19" i="106" s="1"/>
  <c r="B20" i="106" s="1"/>
  <c r="B21" i="106" s="1"/>
  <c r="B22" i="106" s="1"/>
  <c r="B23" i="106" s="1"/>
  <c r="B24" i="106" s="1"/>
  <c r="B25" i="106" s="1"/>
  <c r="B26" i="106" s="1"/>
  <c r="B27" i="106" s="1"/>
  <c r="B28" i="106" s="1"/>
  <c r="B29" i="106" s="1"/>
  <c r="B30" i="106" s="1"/>
  <c r="B31" i="106" s="1"/>
  <c r="B32" i="106" s="1"/>
  <c r="B33" i="106" s="1"/>
  <c r="B34" i="106" s="1"/>
  <c r="B35" i="106" s="1"/>
  <c r="B36" i="106" s="1"/>
  <c r="B37" i="106" s="1"/>
  <c r="B38" i="106" s="1"/>
  <c r="B39" i="106" s="1"/>
  <c r="B40" i="106" s="1"/>
  <c r="B41" i="106" s="1"/>
  <c r="B42" i="106" s="1"/>
  <c r="B43" i="106" s="1"/>
  <c r="B44" i="106" s="1"/>
  <c r="B45" i="106" s="1"/>
  <c r="B46" i="106" s="1"/>
  <c r="B47" i="106" s="1"/>
  <c r="B48" i="106" s="1"/>
  <c r="B49" i="106" s="1"/>
  <c r="B50" i="106" s="1"/>
  <c r="B51" i="106" s="1"/>
  <c r="B52" i="106" s="1"/>
  <c r="B53" i="106" s="1"/>
  <c r="B54" i="106" s="1"/>
  <c r="B55" i="106" s="1"/>
  <c r="B56" i="106" s="1"/>
  <c r="B57" i="106" s="1"/>
  <c r="B58" i="106" s="1"/>
  <c r="B59" i="106" s="1"/>
  <c r="B60" i="106" s="1"/>
  <c r="B61" i="106" s="1"/>
  <c r="B62" i="106" s="1"/>
  <c r="B63" i="106" s="1"/>
  <c r="B64" i="106" s="1"/>
  <c r="B65" i="106" s="1"/>
  <c r="B66" i="106" s="1"/>
  <c r="B67" i="106" s="1"/>
  <c r="B68" i="106" s="1"/>
  <c r="B69" i="106" s="1"/>
  <c r="B70" i="106" s="1"/>
  <c r="B71" i="106" s="1"/>
  <c r="B72" i="106" s="1"/>
  <c r="B73" i="106" s="1"/>
  <c r="B74" i="106" s="1"/>
  <c r="B75" i="106" s="1"/>
  <c r="B76" i="106" s="1"/>
  <c r="B77" i="106" s="1"/>
  <c r="B78" i="106" s="1"/>
  <c r="B79" i="106" s="1"/>
  <c r="B80" i="106" s="1"/>
  <c r="B81" i="106" s="1"/>
  <c r="B82" i="106" s="1"/>
  <c r="B83" i="106" s="1"/>
  <c r="B84" i="106" s="1"/>
  <c r="B85" i="106" s="1"/>
  <c r="B86" i="106" s="1"/>
  <c r="B87" i="106" s="1"/>
  <c r="B88" i="106" s="1"/>
  <c r="B89" i="106" s="1"/>
  <c r="B90" i="106" s="1"/>
  <c r="B91" i="106" s="1"/>
  <c r="B92" i="106" s="1"/>
  <c r="B93" i="106" s="1"/>
  <c r="B94" i="106" s="1"/>
  <c r="B95" i="106" s="1"/>
  <c r="B96" i="106" s="1"/>
  <c r="B97" i="106" s="1"/>
  <c r="B98" i="106" s="1"/>
  <c r="B99" i="106" s="1"/>
  <c r="B100" i="106" s="1"/>
  <c r="B101" i="106" s="1"/>
  <c r="B102" i="106" s="1"/>
  <c r="B103" i="106" s="1"/>
  <c r="B104" i="106" s="1"/>
  <c r="B105" i="106" s="1"/>
  <c r="B106" i="106" s="1"/>
  <c r="B107" i="106" s="1"/>
  <c r="B108" i="106" s="1"/>
  <c r="B109" i="106" s="1"/>
  <c r="B110" i="106" s="1"/>
  <c r="B111" i="106" s="1"/>
  <c r="B112" i="106" s="1"/>
  <c r="B113" i="106" s="1"/>
  <c r="B114" i="106" s="1"/>
  <c r="B115" i="106" s="1"/>
  <c r="B116" i="106" s="1"/>
  <c r="B117" i="106" s="1"/>
  <c r="B118" i="106" s="1"/>
  <c r="B119" i="106" s="1"/>
  <c r="B120" i="106" s="1"/>
  <c r="B121" i="106" s="1"/>
  <c r="B122" i="106" s="1"/>
  <c r="B123" i="106" s="1"/>
  <c r="B124" i="106" s="1"/>
  <c r="B125" i="106" s="1"/>
  <c r="B126" i="106" s="1"/>
  <c r="B127" i="106" s="1"/>
  <c r="B128" i="106" s="1"/>
  <c r="B129" i="106" s="1"/>
  <c r="B130" i="106" s="1"/>
  <c r="B131" i="106" s="1"/>
  <c r="B132" i="106" s="1"/>
  <c r="B133" i="106" s="1"/>
  <c r="B134" i="106" s="1"/>
  <c r="B135" i="106" s="1"/>
  <c r="B136" i="106" s="1"/>
  <c r="B137" i="106" s="1"/>
  <c r="B138" i="106" s="1"/>
  <c r="B139" i="106" s="1"/>
  <c r="B140" i="106" s="1"/>
  <c r="B141" i="106" s="1"/>
  <c r="B142" i="106" s="1"/>
  <c r="B143" i="106" s="1"/>
  <c r="B144" i="106" s="1"/>
  <c r="B145" i="106" s="1"/>
  <c r="B146" i="106" s="1"/>
  <c r="B147" i="106" s="1"/>
  <c r="B148" i="106" s="1"/>
  <c r="B149" i="106" s="1"/>
  <c r="B150" i="106" s="1"/>
  <c r="B151" i="106" s="1"/>
  <c r="B152" i="106" s="1"/>
  <c r="B153" i="106" s="1"/>
  <c r="B154" i="106" s="1"/>
  <c r="B155" i="106" s="1"/>
  <c r="B156" i="106" s="1"/>
  <c r="B157" i="106" s="1"/>
  <c r="B158" i="106" s="1"/>
  <c r="B159" i="106" s="1"/>
  <c r="B160" i="106" s="1"/>
  <c r="B161" i="106" s="1"/>
  <c r="B162" i="106" s="1"/>
  <c r="B163" i="106" s="1"/>
  <c r="B164" i="106" s="1"/>
  <c r="B165" i="106" s="1"/>
  <c r="B166" i="106" s="1"/>
  <c r="B167" i="106" s="1"/>
  <c r="B168" i="106" s="1"/>
  <c r="B169" i="106" s="1"/>
  <c r="B170" i="106" s="1"/>
  <c r="B171" i="106" s="1"/>
  <c r="B172" i="106" s="1"/>
  <c r="B173" i="106" s="1"/>
  <c r="B174" i="106" s="1"/>
  <c r="B175" i="106" s="1"/>
  <c r="B176" i="106" s="1"/>
  <c r="B177" i="106" s="1"/>
  <c r="B178" i="106" s="1"/>
  <c r="B179" i="106" s="1"/>
  <c r="B180" i="106" s="1"/>
  <c r="B181" i="106" s="1"/>
  <c r="B182" i="106" s="1"/>
  <c r="B183" i="106" s="1"/>
  <c r="B184" i="106" s="1"/>
  <c r="B185" i="106" s="1"/>
  <c r="B186" i="106" s="1"/>
  <c r="B187" i="106" s="1"/>
  <c r="B188" i="106" s="1"/>
  <c r="B189" i="106" s="1"/>
  <c r="B190" i="106" s="1"/>
  <c r="B191" i="106" s="1"/>
  <c r="B192" i="106" s="1"/>
  <c r="B193" i="106" s="1"/>
  <c r="B194" i="106" s="1"/>
  <c r="B195" i="106" s="1"/>
  <c r="B196" i="106" s="1"/>
  <c r="B197" i="106" s="1"/>
  <c r="B198" i="106" s="1"/>
  <c r="B199" i="106" s="1"/>
  <c r="B200" i="106" s="1"/>
  <c r="B201" i="106" s="1"/>
  <c r="B202" i="106" s="1"/>
  <c r="B203" i="106" s="1"/>
  <c r="B204" i="106" s="1"/>
  <c r="B205" i="106" s="1"/>
  <c r="B206" i="106" s="1"/>
  <c r="B207" i="106" s="1"/>
  <c r="B208" i="106" s="1"/>
  <c r="B209" i="106" s="1"/>
  <c r="B210" i="106" s="1"/>
  <c r="B211" i="106" s="1"/>
  <c r="B212" i="106" s="1"/>
  <c r="B213" i="106" s="1"/>
  <c r="B214" i="106" s="1"/>
  <c r="B215" i="106" s="1"/>
  <c r="B216" i="106" s="1"/>
  <c r="B217" i="106" s="1"/>
  <c r="B218" i="106" s="1"/>
  <c r="B219" i="106" s="1"/>
  <c r="B220" i="106" s="1"/>
  <c r="B221" i="106" s="1"/>
  <c r="B222" i="106" s="1"/>
  <c r="B223" i="106" s="1"/>
  <c r="B224" i="106" s="1"/>
  <c r="B225" i="106" s="1"/>
  <c r="B226" i="106" s="1"/>
  <c r="B227" i="106" s="1"/>
  <c r="B228" i="106" s="1"/>
  <c r="B229" i="106" s="1"/>
  <c r="B230" i="106" s="1"/>
  <c r="B231" i="106" s="1"/>
  <c r="B232" i="106" s="1"/>
  <c r="B233" i="106" s="1"/>
  <c r="B234" i="106" s="1"/>
  <c r="B235" i="106" s="1"/>
  <c r="B236" i="106" s="1"/>
  <c r="B237" i="106" s="1"/>
  <c r="B238" i="106" s="1"/>
  <c r="B239" i="106" s="1"/>
  <c r="B240" i="106" s="1"/>
  <c r="B241" i="106" s="1"/>
  <c r="B242" i="106" s="1"/>
  <c r="B243" i="106" s="1"/>
  <c r="B244" i="106" s="1"/>
  <c r="B245" i="106" s="1"/>
  <c r="B246" i="106" s="1"/>
  <c r="B247" i="106" s="1"/>
  <c r="B248" i="106" s="1"/>
  <c r="B249" i="106" s="1"/>
  <c r="B250" i="106" s="1"/>
  <c r="B251" i="106" s="1"/>
  <c r="B252" i="106" s="1"/>
  <c r="B253" i="106" s="1"/>
  <c r="B254" i="106" s="1"/>
  <c r="B255" i="106" s="1"/>
  <c r="B256" i="106" s="1"/>
  <c r="B257" i="106" s="1"/>
  <c r="B258" i="106" s="1"/>
  <c r="B259" i="106" s="1"/>
  <c r="B260" i="106" s="1"/>
  <c r="B261" i="106" s="1"/>
  <c r="B262" i="106" s="1"/>
  <c r="B263" i="106" s="1"/>
  <c r="B264" i="106" s="1"/>
  <c r="B265" i="106" s="1"/>
  <c r="B266" i="106" s="1"/>
  <c r="B267" i="106" s="1"/>
  <c r="B268" i="106" s="1"/>
  <c r="B269" i="106" s="1"/>
  <c r="B270" i="106" s="1"/>
  <c r="B271" i="106" s="1"/>
  <c r="B272" i="106" s="1"/>
  <c r="B273" i="106" s="1"/>
  <c r="B274" i="106" s="1"/>
  <c r="B275" i="106" s="1"/>
  <c r="B276" i="106" s="1"/>
  <c r="B277" i="106" s="1"/>
  <c r="B278" i="106" s="1"/>
  <c r="B279" i="106" s="1"/>
  <c r="B280" i="106" s="1"/>
  <c r="B281" i="106" s="1"/>
  <c r="B282" i="106" s="1"/>
  <c r="B283" i="106" s="1"/>
  <c r="B284" i="106" s="1"/>
  <c r="B285" i="106" s="1"/>
  <c r="B286" i="106" s="1"/>
  <c r="B287" i="106" s="1"/>
  <c r="B288" i="106" s="1"/>
  <c r="B289" i="106" s="1"/>
  <c r="B290" i="106" s="1"/>
  <c r="B291" i="106" s="1"/>
  <c r="B292" i="106" s="1"/>
  <c r="B293" i="106" s="1"/>
  <c r="B294" i="106" s="1"/>
  <c r="B295" i="106" s="1"/>
  <c r="B296" i="106" s="1"/>
  <c r="B297" i="106" s="1"/>
  <c r="B298" i="106" s="1"/>
  <c r="B299" i="106" s="1"/>
  <c r="B300" i="106" s="1"/>
  <c r="B301" i="106" s="1"/>
  <c r="B302" i="106" s="1"/>
  <c r="B303" i="106" s="1"/>
  <c r="B304" i="106" s="1"/>
  <c r="B305" i="106" s="1"/>
  <c r="B306" i="106" s="1"/>
  <c r="B307" i="106" s="1"/>
  <c r="B308" i="106" s="1"/>
  <c r="B309" i="106" s="1"/>
  <c r="B310" i="106" s="1"/>
  <c r="B311" i="106" s="1"/>
  <c r="B312" i="106" s="1"/>
  <c r="B313" i="106" s="1"/>
  <c r="B314" i="106" s="1"/>
  <c r="B315" i="106" s="1"/>
  <c r="B316" i="106" s="1"/>
  <c r="B317" i="106" s="1"/>
  <c r="B318" i="106" s="1"/>
  <c r="B319" i="106" s="1"/>
  <c r="B320" i="106" s="1"/>
  <c r="B321" i="106" s="1"/>
  <c r="B322" i="106" s="1"/>
  <c r="B323" i="106" s="1"/>
  <c r="B324" i="106" s="1"/>
  <c r="B325" i="106" s="1"/>
  <c r="B326" i="106" s="1"/>
  <c r="B327" i="106" s="1"/>
  <c r="B328" i="106" s="1"/>
  <c r="B329" i="106" s="1"/>
  <c r="B330" i="106" s="1"/>
  <c r="B331" i="106" s="1"/>
  <c r="B332" i="106" s="1"/>
  <c r="B333" i="106" s="1"/>
  <c r="B334" i="106" s="1"/>
  <c r="B335" i="106" s="1"/>
  <c r="B336" i="106" s="1"/>
  <c r="B337" i="106" s="1"/>
  <c r="B338" i="106" s="1"/>
  <c r="B339" i="106" s="1"/>
  <c r="B340" i="106" s="1"/>
  <c r="B341" i="106" s="1"/>
  <c r="B342" i="106" s="1"/>
  <c r="B343" i="106" s="1"/>
  <c r="B344" i="106" s="1"/>
  <c r="B345" i="106" s="1"/>
  <c r="B346" i="106" s="1"/>
  <c r="B347" i="106" s="1"/>
  <c r="B348" i="106" s="1"/>
  <c r="B349" i="106" s="1"/>
  <c r="B350" i="106" s="1"/>
  <c r="B351" i="106" s="1"/>
  <c r="B352" i="106" s="1"/>
  <c r="B353" i="106" s="1"/>
  <c r="B354" i="106" s="1"/>
  <c r="B355" i="106" s="1"/>
  <c r="B356" i="106" s="1"/>
  <c r="B357" i="106" s="1"/>
  <c r="B358" i="106" s="1"/>
  <c r="B359" i="106" s="1"/>
  <c r="B360" i="106" s="1"/>
  <c r="B361" i="106" s="1"/>
  <c r="B362" i="106" s="1"/>
  <c r="B363" i="106" s="1"/>
  <c r="B364" i="106" s="1"/>
  <c r="B365" i="106" s="1"/>
  <c r="B366" i="106" s="1"/>
  <c r="B367" i="106" s="1"/>
  <c r="B368" i="106" s="1"/>
  <c r="B369" i="106" s="1"/>
  <c r="B370" i="106" s="1"/>
  <c r="B371" i="106" s="1"/>
  <c r="B372" i="106" s="1"/>
  <c r="B373" i="106" s="1"/>
  <c r="B374" i="106" s="1"/>
  <c r="B375" i="106" s="1"/>
  <c r="B376" i="106" s="1"/>
  <c r="B377" i="106" s="1"/>
  <c r="B378" i="106" s="1"/>
  <c r="B379" i="106" s="1"/>
  <c r="B380" i="106" s="1"/>
  <c r="B381" i="106" s="1"/>
  <c r="B382" i="106" s="1"/>
  <c r="B383" i="106" s="1"/>
  <c r="B384" i="106" s="1"/>
  <c r="B385" i="106" s="1"/>
  <c r="B386" i="106" s="1"/>
  <c r="B387" i="106" s="1"/>
  <c r="B388" i="106" s="1"/>
  <c r="B389" i="106" s="1"/>
  <c r="B390" i="106" s="1"/>
  <c r="B391" i="106" s="1"/>
  <c r="B392" i="106" s="1"/>
  <c r="B393" i="106" s="1"/>
  <c r="B394" i="106" s="1"/>
  <c r="B395" i="106" s="1"/>
  <c r="B396" i="106" s="1"/>
  <c r="B397" i="106" s="1"/>
  <c r="B398" i="106" s="1"/>
  <c r="B399" i="106" s="1"/>
  <c r="B400" i="106" s="1"/>
  <c r="B401" i="106" s="1"/>
  <c r="B402" i="106" s="1"/>
  <c r="B403" i="106" s="1"/>
  <c r="B404" i="106" s="1"/>
  <c r="B405" i="106" s="1"/>
  <c r="B406" i="106" s="1"/>
  <c r="B407" i="106" s="1"/>
  <c r="B408" i="106" s="1"/>
  <c r="B409" i="106" s="1"/>
  <c r="B410" i="106" s="1"/>
  <c r="B411" i="106" s="1"/>
  <c r="B412" i="106" s="1"/>
  <c r="B413" i="106" s="1"/>
  <c r="B414" i="106" s="1"/>
  <c r="B415" i="106" s="1"/>
  <c r="B416" i="106" s="1"/>
  <c r="B417" i="106" s="1"/>
  <c r="B418" i="106" s="1"/>
  <c r="B419" i="106" s="1"/>
  <c r="B420" i="106" s="1"/>
  <c r="B421" i="106" s="1"/>
  <c r="B422" i="106" s="1"/>
  <c r="B423" i="106" s="1"/>
  <c r="B424" i="106" s="1"/>
  <c r="B425" i="106" s="1"/>
  <c r="B426" i="106" s="1"/>
  <c r="B427" i="106" s="1"/>
  <c r="B428" i="106" s="1"/>
  <c r="B429" i="106" s="1"/>
  <c r="B430" i="106" s="1"/>
  <c r="B431" i="106" s="1"/>
  <c r="B432" i="106" s="1"/>
  <c r="B433" i="106" s="1"/>
  <c r="B434" i="106" s="1"/>
  <c r="B435" i="106" s="1"/>
  <c r="B436" i="106" s="1"/>
  <c r="B437" i="106" s="1"/>
  <c r="B438" i="106" s="1"/>
  <c r="B439" i="106" s="1"/>
  <c r="B440" i="106" s="1"/>
  <c r="B441" i="106" s="1"/>
  <c r="B442" i="106" s="1"/>
  <c r="B443" i="106" s="1"/>
  <c r="B444" i="106" s="1"/>
  <c r="B445" i="106" s="1"/>
  <c r="B446" i="106" s="1"/>
  <c r="B447" i="106" s="1"/>
  <c r="B448" i="106" s="1"/>
  <c r="B449" i="106" s="1"/>
  <c r="B450" i="106" s="1"/>
  <c r="B451" i="106" s="1"/>
  <c r="B452" i="106" s="1"/>
  <c r="B453" i="106" s="1"/>
  <c r="B454" i="106" s="1"/>
  <c r="B455" i="106" s="1"/>
  <c r="B456" i="106" s="1"/>
  <c r="B457" i="106" s="1"/>
  <c r="B458" i="106" s="1"/>
  <c r="B459" i="106" s="1"/>
  <c r="B460" i="106" s="1"/>
  <c r="B461" i="106" s="1"/>
  <c r="B462" i="106" s="1"/>
  <c r="B463" i="106" s="1"/>
  <c r="B464" i="106" s="1"/>
  <c r="B465" i="106" s="1"/>
  <c r="B466" i="106" s="1"/>
  <c r="B467" i="106" s="1"/>
  <c r="B468" i="106" s="1"/>
  <c r="B469" i="106" s="1"/>
  <c r="B470" i="106" s="1"/>
  <c r="B471" i="106" s="1"/>
  <c r="B472" i="106" s="1"/>
  <c r="B473" i="106" s="1"/>
  <c r="B474" i="106" s="1"/>
  <c r="B475" i="106" s="1"/>
  <c r="B476" i="106" s="1"/>
  <c r="B477" i="106" s="1"/>
  <c r="B478" i="106" s="1"/>
  <c r="B479" i="106" s="1"/>
  <c r="B480" i="106" s="1"/>
  <c r="B481" i="106" s="1"/>
  <c r="B482" i="106" s="1"/>
  <c r="B483" i="106" s="1"/>
  <c r="B484" i="106" s="1"/>
  <c r="B485" i="106" s="1"/>
  <c r="B486" i="106" s="1"/>
  <c r="B487" i="106" s="1"/>
  <c r="B488" i="106" s="1"/>
  <c r="B489" i="106" s="1"/>
  <c r="B490" i="106" s="1"/>
  <c r="B491" i="106" s="1"/>
  <c r="B492" i="106" s="1"/>
  <c r="B493" i="106" s="1"/>
  <c r="B494" i="106" s="1"/>
  <c r="B495" i="106" s="1"/>
  <c r="B496" i="106" s="1"/>
  <c r="B497" i="106" s="1"/>
  <c r="B498" i="106" s="1"/>
  <c r="B499" i="106" s="1"/>
  <c r="B500" i="106" s="1"/>
  <c r="B501" i="106" s="1"/>
  <c r="B502" i="106" s="1"/>
  <c r="B503" i="106" s="1"/>
  <c r="B504" i="106" s="1"/>
  <c r="B505" i="106" s="1"/>
  <c r="B506" i="106" s="1"/>
  <c r="B507" i="106" s="1"/>
  <c r="B508" i="106" s="1"/>
  <c r="B509" i="106" s="1"/>
  <c r="E1" i="106"/>
  <c r="B1" i="106"/>
  <c r="C694" i="106" l="1"/>
  <c r="C695" i="106"/>
  <c r="B37" i="105" s="1"/>
  <c r="C693" i="106"/>
  <c r="B30" i="105" s="1"/>
  <c r="C540" i="106"/>
  <c r="C692" i="106"/>
  <c r="C691" i="106"/>
  <c r="C504" i="106"/>
  <c r="C472" i="106"/>
  <c r="B9" i="66" s="1"/>
  <c r="C440" i="106"/>
  <c r="C344" i="106"/>
  <c r="C312" i="106"/>
  <c r="C216" i="106"/>
  <c r="C152" i="106"/>
  <c r="C120" i="106"/>
  <c r="C56" i="106"/>
  <c r="D41" i="67" s="1"/>
  <c r="C24" i="106"/>
  <c r="C17" i="53" s="1"/>
  <c r="C676" i="106"/>
  <c r="C612" i="106"/>
  <c r="C6" i="106"/>
  <c r="C497" i="106"/>
  <c r="B12" i="66" s="1"/>
  <c r="C465" i="106"/>
  <c r="C433" i="106"/>
  <c r="C401" i="106"/>
  <c r="L9" i="99" s="1"/>
  <c r="C369" i="106"/>
  <c r="N9" i="99" s="1"/>
  <c r="C337" i="106"/>
  <c r="C305" i="106"/>
  <c r="C273" i="106"/>
  <c r="C241" i="106"/>
  <c r="C209" i="106"/>
  <c r="C177" i="106"/>
  <c r="B18" i="54" s="1"/>
  <c r="C145" i="106"/>
  <c r="C113" i="106"/>
  <c r="C7" i="100" s="1"/>
  <c r="C81" i="106"/>
  <c r="C49" i="106"/>
  <c r="C17" i="106"/>
  <c r="C669" i="106"/>
  <c r="B18" i="105" s="1"/>
  <c r="C637" i="106"/>
  <c r="C605" i="106"/>
  <c r="B45" i="79" s="1"/>
  <c r="C573" i="106"/>
  <c r="C541" i="106"/>
  <c r="C35" i="99" s="1"/>
  <c r="C5" i="106"/>
  <c r="C496" i="106"/>
  <c r="C464" i="106"/>
  <c r="C432" i="106"/>
  <c r="C400" i="106"/>
  <c r="C368" i="106"/>
  <c r="C336" i="106"/>
  <c r="C304" i="106"/>
  <c r="C272" i="106"/>
  <c r="C240" i="106"/>
  <c r="C208" i="106"/>
  <c r="C176" i="106"/>
  <c r="C144" i="106"/>
  <c r="C112" i="106"/>
  <c r="B18" i="79" s="1"/>
  <c r="C80" i="106"/>
  <c r="C48" i="106"/>
  <c r="C16" i="106"/>
  <c r="C15" i="53" s="1"/>
  <c r="C668" i="106"/>
  <c r="B17" i="105" s="1"/>
  <c r="C636" i="106"/>
  <c r="C604" i="106"/>
  <c r="C572" i="106"/>
  <c r="C510" i="106"/>
  <c r="C518" i="106"/>
  <c r="C10" i="99" s="1"/>
  <c r="C526" i="106"/>
  <c r="C19" i="99" s="1"/>
  <c r="C534" i="106"/>
  <c r="C29" i="99" s="1"/>
  <c r="C542" i="106"/>
  <c r="C550" i="106"/>
  <c r="U11" i="99" s="1"/>
  <c r="C558" i="106"/>
  <c r="C566" i="106"/>
  <c r="C574" i="106"/>
  <c r="C582" i="106"/>
  <c r="C590" i="106"/>
  <c r="A4" i="101" s="1"/>
  <c r="C598" i="106"/>
  <c r="C606" i="106"/>
  <c r="C614" i="106"/>
  <c r="C622" i="106"/>
  <c r="C630" i="106"/>
  <c r="C638" i="106"/>
  <c r="C646" i="106"/>
  <c r="E7" i="105" s="1"/>
  <c r="C654" i="106"/>
  <c r="B4" i="105" s="1"/>
  <c r="C662" i="106"/>
  <c r="B11" i="105" s="1"/>
  <c r="C670" i="106"/>
  <c r="B19" i="105" s="1"/>
  <c r="C678" i="106"/>
  <c r="B27" i="105" s="1"/>
  <c r="C686" i="106"/>
  <c r="C10" i="106"/>
  <c r="C18" i="106"/>
  <c r="C26" i="106"/>
  <c r="C34" i="106"/>
  <c r="C34" i="53" s="1"/>
  <c r="C42" i="106"/>
  <c r="H13" i="53" s="1"/>
  <c r="C50" i="106"/>
  <c r="C58" i="106"/>
  <c r="C66" i="106"/>
  <c r="C74" i="106"/>
  <c r="C82" i="106"/>
  <c r="C90" i="106"/>
  <c r="C98" i="106"/>
  <c r="C106" i="106"/>
  <c r="C114" i="106"/>
  <c r="B14" i="79" s="1"/>
  <c r="C122" i="106"/>
  <c r="C130" i="106"/>
  <c r="D13" i="79" s="1"/>
  <c r="C138" i="106"/>
  <c r="C146" i="106"/>
  <c r="B43" i="79" s="1"/>
  <c r="C154" i="106"/>
  <c r="C162" i="106"/>
  <c r="D16" i="70" s="1"/>
  <c r="C170" i="106"/>
  <c r="G15" i="70" s="1"/>
  <c r="C178" i="106"/>
  <c r="C186" i="106"/>
  <c r="B19" i="54" s="1"/>
  <c r="C194" i="106"/>
  <c r="D19" i="54" s="1"/>
  <c r="C202" i="106"/>
  <c r="C210" i="106"/>
  <c r="B8" i="54" s="1"/>
  <c r="C218" i="106"/>
  <c r="C226" i="106"/>
  <c r="C234" i="106"/>
  <c r="C242" i="106"/>
  <c r="C250" i="106"/>
  <c r="C258" i="106"/>
  <c r="C266" i="106"/>
  <c r="C274" i="106"/>
  <c r="C282" i="106"/>
  <c r="C290" i="106"/>
  <c r="C298" i="106"/>
  <c r="C306" i="106"/>
  <c r="C314" i="106"/>
  <c r="C322" i="106"/>
  <c r="C330" i="106"/>
  <c r="C338" i="106"/>
  <c r="C346" i="106"/>
  <c r="C354" i="106"/>
  <c r="B29" i="79" s="1"/>
  <c r="C362" i="106"/>
  <c r="C370" i="106"/>
  <c r="O25" i="99" s="1"/>
  <c r="C378" i="106"/>
  <c r="C386" i="106"/>
  <c r="C394" i="106"/>
  <c r="C402" i="106"/>
  <c r="C410" i="106"/>
  <c r="C418" i="106"/>
  <c r="C426" i="106"/>
  <c r="C434" i="106"/>
  <c r="C442" i="106"/>
  <c r="C450" i="106"/>
  <c r="C458" i="106"/>
  <c r="C466" i="106"/>
  <c r="C474" i="106"/>
  <c r="C482" i="106"/>
  <c r="C490" i="106"/>
  <c r="C498" i="106"/>
  <c r="B15" i="66" s="1"/>
  <c r="C511" i="106"/>
  <c r="D2" i="99" s="1"/>
  <c r="C519" i="106"/>
  <c r="C11" i="99" s="1"/>
  <c r="C527" i="106"/>
  <c r="C535" i="106"/>
  <c r="C30" i="99" s="1"/>
  <c r="C543" i="106"/>
  <c r="E28" i="100" s="1"/>
  <c r="C551" i="106"/>
  <c r="U12" i="99" s="1"/>
  <c r="C559" i="106"/>
  <c r="U35" i="99" s="1"/>
  <c r="C567" i="106"/>
  <c r="J9" i="100" s="1"/>
  <c r="C575" i="106"/>
  <c r="C583" i="106"/>
  <c r="H41" i="79" s="1"/>
  <c r="C591" i="106"/>
  <c r="C599" i="106"/>
  <c r="C607" i="106"/>
  <c r="C615" i="106"/>
  <c r="C623" i="106"/>
  <c r="C631" i="106"/>
  <c r="C639" i="106"/>
  <c r="C647" i="106"/>
  <c r="E8" i="105" s="1"/>
  <c r="C655" i="106"/>
  <c r="C663" i="106"/>
  <c r="B12" i="105" s="1"/>
  <c r="C671" i="106"/>
  <c r="B20" i="105" s="1"/>
  <c r="C679" i="106"/>
  <c r="C687" i="106"/>
  <c r="C11" i="106"/>
  <c r="B10" i="53" s="1"/>
  <c r="C19" i="106"/>
  <c r="C27" i="106"/>
  <c r="C35" i="106"/>
  <c r="C43" i="106"/>
  <c r="H16" i="53" s="1"/>
  <c r="C51" i="106"/>
  <c r="C59" i="106"/>
  <c r="C67" i="106"/>
  <c r="C75" i="106"/>
  <c r="C83" i="106"/>
  <c r="C91" i="106"/>
  <c r="C99" i="106"/>
  <c r="C107" i="106"/>
  <c r="C2" i="70" s="1"/>
  <c r="C115" i="106"/>
  <c r="B15" i="79" s="1"/>
  <c r="C123" i="106"/>
  <c r="C131" i="106"/>
  <c r="F48" i="79" s="1"/>
  <c r="C139" i="106"/>
  <c r="H18" i="79" s="1"/>
  <c r="C147" i="106"/>
  <c r="H48" i="79" s="1"/>
  <c r="C155" i="106"/>
  <c r="B11" i="70" s="1"/>
  <c r="C163" i="106"/>
  <c r="C171" i="106"/>
  <c r="G17" i="70" s="1"/>
  <c r="C179" i="106"/>
  <c r="C187" i="106"/>
  <c r="B20" i="54" s="1"/>
  <c r="C195" i="106"/>
  <c r="D13" i="54" s="1"/>
  <c r="C203" i="106"/>
  <c r="G18" i="54" s="1"/>
  <c r="C211" i="106"/>
  <c r="G8" i="54" s="1"/>
  <c r="C219" i="106"/>
  <c r="C227" i="106"/>
  <c r="C235" i="106"/>
  <c r="C243" i="106"/>
  <c r="C251" i="106"/>
  <c r="C259" i="106"/>
  <c r="C267" i="106"/>
  <c r="C275" i="106"/>
  <c r="C283" i="106"/>
  <c r="C291" i="106"/>
  <c r="C299" i="106"/>
  <c r="C307" i="106"/>
  <c r="C315" i="106"/>
  <c r="C323" i="106"/>
  <c r="C331" i="106"/>
  <c r="C339" i="106"/>
  <c r="C347" i="106"/>
  <c r="C355" i="106"/>
  <c r="C363" i="106"/>
  <c r="M25" i="99" s="1"/>
  <c r="C371" i="106"/>
  <c r="P9" i="99" s="1"/>
  <c r="C379" i="106"/>
  <c r="L7" i="99" s="1"/>
  <c r="C387" i="106"/>
  <c r="C395" i="106"/>
  <c r="C403" i="106"/>
  <c r="C411" i="106"/>
  <c r="C419" i="106"/>
  <c r="C427" i="106"/>
  <c r="C435" i="106"/>
  <c r="C443" i="106"/>
  <c r="C451" i="106"/>
  <c r="C459" i="106"/>
  <c r="C467" i="106"/>
  <c r="C475" i="106"/>
  <c r="C483" i="106"/>
  <c r="C491" i="106"/>
  <c r="C499" i="106"/>
  <c r="C512" i="106"/>
  <c r="C7" i="99" s="1"/>
  <c r="C520" i="106"/>
  <c r="C12" i="99" s="1"/>
  <c r="C528" i="106"/>
  <c r="I25" i="99" s="1"/>
  <c r="C536" i="106"/>
  <c r="C31" i="99" s="1"/>
  <c r="C544" i="106"/>
  <c r="D41" i="99" s="1"/>
  <c r="C552" i="106"/>
  <c r="U13" i="99" s="1"/>
  <c r="C560" i="106"/>
  <c r="C568" i="106"/>
  <c r="K9" i="100" s="1"/>
  <c r="C576" i="106"/>
  <c r="R23" i="100" s="1"/>
  <c r="C584" i="106"/>
  <c r="F25" i="99" s="1"/>
  <c r="C592" i="106"/>
  <c r="B37" i="79" s="1"/>
  <c r="C600" i="106"/>
  <c r="C608" i="106"/>
  <c r="C616" i="106"/>
  <c r="C624" i="106"/>
  <c r="C632" i="106"/>
  <c r="C640" i="106"/>
  <c r="C648" i="106"/>
  <c r="B6" i="70" s="1"/>
  <c r="C656" i="106"/>
  <c r="B5" i="105" s="1"/>
  <c r="C664" i="106"/>
  <c r="B13" i="105" s="1"/>
  <c r="C672" i="106"/>
  <c r="B21" i="105" s="1"/>
  <c r="C680" i="106"/>
  <c r="B31" i="105" s="1"/>
  <c r="C688" i="106"/>
  <c r="B38" i="105" s="1"/>
  <c r="C12" i="106"/>
  <c r="C20" i="106"/>
  <c r="C28" i="106"/>
  <c r="C19" i="53" s="1"/>
  <c r="C36" i="106"/>
  <c r="C37" i="53" s="1"/>
  <c r="C44" i="106"/>
  <c r="H17" i="53" s="1"/>
  <c r="C52" i="106"/>
  <c r="C60" i="106"/>
  <c r="C68" i="106"/>
  <c r="C76" i="106"/>
  <c r="C84" i="106"/>
  <c r="C92" i="106"/>
  <c r="C100" i="106"/>
  <c r="C108" i="106"/>
  <c r="B6" i="79" s="1"/>
  <c r="C116" i="106"/>
  <c r="B19" i="79" s="1"/>
  <c r="C124" i="106"/>
  <c r="C132" i="106"/>
  <c r="L18" i="100" s="1"/>
  <c r="C140" i="106"/>
  <c r="H19" i="79" s="1"/>
  <c r="C148" i="106"/>
  <c r="C156" i="106"/>
  <c r="B13" i="70" s="1"/>
  <c r="C164" i="106"/>
  <c r="G7" i="70" s="1"/>
  <c r="C172" i="106"/>
  <c r="G18" i="70" s="1"/>
  <c r="C180" i="106"/>
  <c r="B11" i="54" s="1"/>
  <c r="C188" i="106"/>
  <c r="B13" i="54" s="1"/>
  <c r="C196" i="106"/>
  <c r="D12" i="54" s="1"/>
  <c r="C204" i="106"/>
  <c r="G21" i="54" s="1"/>
  <c r="C212" i="106"/>
  <c r="C220" i="106"/>
  <c r="C228" i="106"/>
  <c r="C236" i="106"/>
  <c r="C244" i="106"/>
  <c r="C252" i="106"/>
  <c r="C260" i="106"/>
  <c r="C268" i="106"/>
  <c r="C276" i="106"/>
  <c r="C284" i="106"/>
  <c r="C292" i="106"/>
  <c r="C300" i="106"/>
  <c r="C308" i="106"/>
  <c r="C316" i="106"/>
  <c r="C324" i="106"/>
  <c r="C332" i="106"/>
  <c r="C340" i="106"/>
  <c r="C348" i="106"/>
  <c r="C6" i="99" s="1"/>
  <c r="C356" i="106"/>
  <c r="U14" i="99" s="1"/>
  <c r="C364" i="106"/>
  <c r="C372" i="106"/>
  <c r="Q9" i="99" s="1"/>
  <c r="C380" i="106"/>
  <c r="C388" i="106"/>
  <c r="C396" i="106"/>
  <c r="C404" i="106"/>
  <c r="C412" i="106"/>
  <c r="H35" i="79" s="1"/>
  <c r="C420" i="106"/>
  <c r="C428" i="106"/>
  <c r="C436" i="106"/>
  <c r="C444" i="106"/>
  <c r="C452" i="106"/>
  <c r="C460" i="106"/>
  <c r="C468" i="106"/>
  <c r="C476" i="106"/>
  <c r="C484" i="106"/>
  <c r="C492" i="106"/>
  <c r="C500" i="106"/>
  <c r="C513" i="106"/>
  <c r="E9" i="100" s="1"/>
  <c r="C521" i="106"/>
  <c r="B27" i="79" s="1"/>
  <c r="C529" i="106"/>
  <c r="H25" i="99" s="1"/>
  <c r="C537" i="106"/>
  <c r="C32" i="99" s="1"/>
  <c r="C545" i="106"/>
  <c r="L2" i="99" s="1"/>
  <c r="C553" i="106"/>
  <c r="U15" i="99" s="1"/>
  <c r="C561" i="106"/>
  <c r="C18" i="53" s="1"/>
  <c r="C569" i="106"/>
  <c r="L9" i="100" s="1"/>
  <c r="C577" i="106"/>
  <c r="C585" i="106"/>
  <c r="B39" i="79" s="1"/>
  <c r="C593" i="106"/>
  <c r="H39" i="79" s="1"/>
  <c r="C601" i="106"/>
  <c r="C609" i="106"/>
  <c r="C617" i="106"/>
  <c r="C625" i="106"/>
  <c r="C633" i="106"/>
  <c r="C641" i="106"/>
  <c r="D26" i="99" s="1"/>
  <c r="C649" i="106"/>
  <c r="E10" i="105" s="1"/>
  <c r="C657" i="106"/>
  <c r="C665" i="106"/>
  <c r="C673" i="106"/>
  <c r="B22" i="105" s="1"/>
  <c r="C681" i="106"/>
  <c r="B32" i="105" s="1"/>
  <c r="C689" i="106"/>
  <c r="U27" i="99" s="1"/>
  <c r="C13" i="106"/>
  <c r="E12" i="53" s="1"/>
  <c r="C21" i="106"/>
  <c r="C16" i="53" s="1"/>
  <c r="C29" i="106"/>
  <c r="C37" i="106"/>
  <c r="C39" i="53" s="1"/>
  <c r="C45" i="106"/>
  <c r="H18" i="53" s="1"/>
  <c r="C53" i="106"/>
  <c r="C61" i="106"/>
  <c r="C69" i="106"/>
  <c r="C77" i="106"/>
  <c r="C85" i="106"/>
  <c r="C93" i="106"/>
  <c r="C101" i="106"/>
  <c r="C109" i="106"/>
  <c r="B7" i="79" s="1"/>
  <c r="C117" i="106"/>
  <c r="B21" i="79" s="1"/>
  <c r="C125" i="106"/>
  <c r="B38" i="79" s="1"/>
  <c r="C133" i="106"/>
  <c r="H1" i="79" s="1"/>
  <c r="C141" i="106"/>
  <c r="H22" i="79" s="1"/>
  <c r="C149" i="106"/>
  <c r="C157" i="106"/>
  <c r="B14" i="70" s="1"/>
  <c r="C165" i="106"/>
  <c r="C173" i="106"/>
  <c r="C181" i="106"/>
  <c r="B12" i="54" s="1"/>
  <c r="C189" i="106"/>
  <c r="B22" i="54" s="1"/>
  <c r="C197" i="106"/>
  <c r="G2" i="54" s="1"/>
  <c r="C205" i="106"/>
  <c r="C213" i="106"/>
  <c r="C221" i="106"/>
  <c r="C229" i="106"/>
  <c r="C237" i="106"/>
  <c r="C245" i="106"/>
  <c r="C253" i="106"/>
  <c r="C261" i="106"/>
  <c r="C269" i="106"/>
  <c r="C277" i="106"/>
  <c r="C285" i="106"/>
  <c r="C293" i="106"/>
  <c r="C301" i="106"/>
  <c r="C309" i="106"/>
  <c r="C317" i="106"/>
  <c r="R7" i="100" s="1"/>
  <c r="C325" i="106"/>
  <c r="C333" i="106"/>
  <c r="C341" i="106"/>
  <c r="C349" i="106"/>
  <c r="C357" i="106"/>
  <c r="C365" i="106"/>
  <c r="C373" i="106"/>
  <c r="C381" i="106"/>
  <c r="C389" i="106"/>
  <c r="C397" i="106"/>
  <c r="C405" i="106"/>
  <c r="C413" i="106"/>
  <c r="C421" i="106"/>
  <c r="C429" i="106"/>
  <c r="C437" i="106"/>
  <c r="C445" i="106"/>
  <c r="C453" i="106"/>
  <c r="C461" i="106"/>
  <c r="C469" i="106"/>
  <c r="C477" i="106"/>
  <c r="G7" i="66" s="1"/>
  <c r="C485" i="106"/>
  <c r="C493" i="106"/>
  <c r="C501" i="106"/>
  <c r="H11" i="53" s="1"/>
  <c r="C514" i="106"/>
  <c r="F9" i="99" s="1"/>
  <c r="C522" i="106"/>
  <c r="C15" i="99" s="1"/>
  <c r="C530" i="106"/>
  <c r="C538" i="106"/>
  <c r="C33" i="99" s="1"/>
  <c r="C546" i="106"/>
  <c r="L41" i="99" s="1"/>
  <c r="C554" i="106"/>
  <c r="C562" i="106"/>
  <c r="D2" i="100" s="1"/>
  <c r="C570" i="106"/>
  <c r="M9" i="100" s="1"/>
  <c r="C578" i="106"/>
  <c r="E29" i="100" s="1"/>
  <c r="C586" i="106"/>
  <c r="B9" i="70" s="1"/>
  <c r="C594" i="106"/>
  <c r="H40" i="79" s="1"/>
  <c r="C602" i="106"/>
  <c r="C610" i="106"/>
  <c r="C618" i="106"/>
  <c r="C626" i="106"/>
  <c r="C634" i="106"/>
  <c r="C642" i="106"/>
  <c r="E3" i="105" s="1"/>
  <c r="C650" i="106"/>
  <c r="E11" i="105" s="1"/>
  <c r="C658" i="106"/>
  <c r="B7" i="105" s="1"/>
  <c r="C666" i="106"/>
  <c r="B15" i="105" s="1"/>
  <c r="C674" i="106"/>
  <c r="B23" i="105" s="1"/>
  <c r="C682" i="106"/>
  <c r="C690" i="106"/>
  <c r="U31" i="99" s="1"/>
  <c r="C14" i="106"/>
  <c r="C13" i="53" s="1"/>
  <c r="C22" i="106"/>
  <c r="C30" i="106"/>
  <c r="C38" i="106"/>
  <c r="C30" i="53" s="1"/>
  <c r="C46" i="106"/>
  <c r="H21" i="53" s="1"/>
  <c r="C54" i="106"/>
  <c r="C62" i="106"/>
  <c r="C70" i="106"/>
  <c r="C78" i="106"/>
  <c r="C86" i="106"/>
  <c r="C94" i="106"/>
  <c r="C102" i="106"/>
  <c r="D2" i="67" s="1"/>
  <c r="C110" i="106"/>
  <c r="D8" i="79" s="1"/>
  <c r="C118" i="106"/>
  <c r="C126" i="106"/>
  <c r="B44" i="79" s="1"/>
  <c r="C134" i="106"/>
  <c r="H2" i="79" s="1"/>
  <c r="C142" i="106"/>
  <c r="H23" i="79" s="1"/>
  <c r="C150" i="106"/>
  <c r="C158" i="106"/>
  <c r="B15" i="70" s="1"/>
  <c r="C166" i="106"/>
  <c r="G1" i="54" s="1"/>
  <c r="C174" i="106"/>
  <c r="H11" i="70" s="1"/>
  <c r="C182" i="106"/>
  <c r="G15" i="54" s="1"/>
  <c r="C190" i="106"/>
  <c r="C198" i="106"/>
  <c r="G7" i="54" s="1"/>
  <c r="C206" i="106"/>
  <c r="C214" i="106"/>
  <c r="C222" i="106"/>
  <c r="C230" i="106"/>
  <c r="C238" i="106"/>
  <c r="C246" i="106"/>
  <c r="C254" i="106"/>
  <c r="C262" i="106"/>
  <c r="C270" i="106"/>
  <c r="C278" i="106"/>
  <c r="C286" i="106"/>
  <c r="R2" i="100" s="1"/>
  <c r="C294" i="106"/>
  <c r="C302" i="106"/>
  <c r="C310" i="106"/>
  <c r="C318" i="106"/>
  <c r="C326" i="106"/>
  <c r="C334" i="106"/>
  <c r="C342" i="106"/>
  <c r="C350" i="106"/>
  <c r="C358" i="106"/>
  <c r="C366" i="106"/>
  <c r="J25" i="99" s="1"/>
  <c r="C374" i="106"/>
  <c r="C382" i="106"/>
  <c r="C390" i="106"/>
  <c r="L6" i="99" s="1"/>
  <c r="C398" i="106"/>
  <c r="C406" i="106"/>
  <c r="C414" i="106"/>
  <c r="C422" i="106"/>
  <c r="C430" i="106"/>
  <c r="C438" i="106"/>
  <c r="C446" i="106"/>
  <c r="C454" i="106"/>
  <c r="C462" i="106"/>
  <c r="C470" i="106"/>
  <c r="B6" i="66" s="1"/>
  <c r="C478" i="106"/>
  <c r="C486" i="106"/>
  <c r="C494" i="106"/>
  <c r="C502" i="106"/>
  <c r="H2" i="53" s="1"/>
  <c r="C515" i="106"/>
  <c r="F10" i="99" s="1"/>
  <c r="C523" i="106"/>
  <c r="C16" i="99" s="1"/>
  <c r="C531" i="106"/>
  <c r="B28" i="79" s="1"/>
  <c r="C539" i="106"/>
  <c r="C34" i="99" s="1"/>
  <c r="C547" i="106"/>
  <c r="C555" i="106"/>
  <c r="U17" i="99" s="1"/>
  <c r="C563" i="106"/>
  <c r="C6" i="100" s="1"/>
  <c r="C571" i="106"/>
  <c r="N9" i="100" s="1"/>
  <c r="C579" i="106"/>
  <c r="G9" i="100" s="1"/>
  <c r="C587" i="106"/>
  <c r="C595" i="106"/>
  <c r="G9" i="70" s="1"/>
  <c r="C603" i="106"/>
  <c r="C611" i="106"/>
  <c r="C619" i="106"/>
  <c r="C627" i="106"/>
  <c r="C635" i="106"/>
  <c r="C643" i="106"/>
  <c r="E4" i="105" s="1"/>
  <c r="C651" i="106"/>
  <c r="E12" i="105" s="1"/>
  <c r="C659" i="106"/>
  <c r="B8" i="105" s="1"/>
  <c r="C667" i="106"/>
  <c r="B16" i="105" s="1"/>
  <c r="C675" i="106"/>
  <c r="B24" i="105" s="1"/>
  <c r="C683" i="106"/>
  <c r="B34" i="105" s="1"/>
  <c r="C7" i="106"/>
  <c r="C3" i="53" s="1"/>
  <c r="C15" i="106"/>
  <c r="C14" i="53" s="1"/>
  <c r="C23" i="106"/>
  <c r="C31" i="106"/>
  <c r="B27" i="53" s="1"/>
  <c r="C39" i="106"/>
  <c r="C47" i="106"/>
  <c r="H22" i="53" s="1"/>
  <c r="C55" i="106"/>
  <c r="B21" i="53" s="1"/>
  <c r="C63" i="106"/>
  <c r="C71" i="106"/>
  <c r="C79" i="106"/>
  <c r="C87" i="106"/>
  <c r="C95" i="106"/>
  <c r="C103" i="106"/>
  <c r="B19" i="67" s="1"/>
  <c r="C111" i="106"/>
  <c r="B11" i="79" s="1"/>
  <c r="C119" i="106"/>
  <c r="C127" i="106"/>
  <c r="B47" i="79" s="1"/>
  <c r="C135" i="106"/>
  <c r="H12" i="79" s="1"/>
  <c r="C143" i="106"/>
  <c r="H29" i="79" s="1"/>
  <c r="C151" i="106"/>
  <c r="C159" i="106"/>
  <c r="B16" i="70" s="1"/>
  <c r="C167" i="106"/>
  <c r="G12" i="70" s="1"/>
  <c r="C175" i="106"/>
  <c r="H12" i="70" s="1"/>
  <c r="C183" i="106"/>
  <c r="C191" i="106"/>
  <c r="C199" i="106"/>
  <c r="G10" i="54" s="1"/>
  <c r="C207" i="106"/>
  <c r="C215" i="106"/>
  <c r="C223" i="106"/>
  <c r="C231" i="106"/>
  <c r="C239" i="106"/>
  <c r="C247" i="106"/>
  <c r="C255" i="106"/>
  <c r="C263" i="106"/>
  <c r="C271" i="106"/>
  <c r="C279" i="106"/>
  <c r="C287" i="106"/>
  <c r="C295" i="106"/>
  <c r="C303" i="106"/>
  <c r="C311" i="106"/>
  <c r="C319" i="106"/>
  <c r="C327" i="106"/>
  <c r="C335" i="106"/>
  <c r="C343" i="106"/>
  <c r="C351" i="106"/>
  <c r="C14" i="99" s="1"/>
  <c r="C359" i="106"/>
  <c r="C367" i="106"/>
  <c r="C375" i="106"/>
  <c r="C383" i="106"/>
  <c r="C391" i="106"/>
  <c r="C399" i="106"/>
  <c r="C407" i="106"/>
  <c r="C415" i="106"/>
  <c r="H34" i="79" s="1"/>
  <c r="C423" i="106"/>
  <c r="C431" i="106"/>
  <c r="C439" i="106"/>
  <c r="C447" i="106"/>
  <c r="C455" i="106"/>
  <c r="C463" i="106"/>
  <c r="C471" i="106"/>
  <c r="B7" i="66" s="1"/>
  <c r="C479" i="106"/>
  <c r="C487" i="106"/>
  <c r="C495" i="106"/>
  <c r="C503" i="106"/>
  <c r="H3" i="53" s="1"/>
  <c r="C509" i="106"/>
  <c r="C489" i="106"/>
  <c r="C457" i="106"/>
  <c r="C425" i="106"/>
  <c r="C393" i="106"/>
  <c r="C361" i="106"/>
  <c r="C329" i="106"/>
  <c r="C297" i="106"/>
  <c r="C265" i="106"/>
  <c r="C233" i="106"/>
  <c r="C201" i="106"/>
  <c r="G12" i="54" s="1"/>
  <c r="C169" i="106"/>
  <c r="C137" i="106"/>
  <c r="H14" i="79" s="1"/>
  <c r="C105" i="106"/>
  <c r="C73" i="106"/>
  <c r="C41" i="106"/>
  <c r="H10" i="53" s="1"/>
  <c r="C9" i="106"/>
  <c r="D40" i="67" s="1"/>
  <c r="C661" i="106"/>
  <c r="B10" i="105" s="1"/>
  <c r="C629" i="106"/>
  <c r="C597" i="106"/>
  <c r="C565" i="106"/>
  <c r="F9" i="100" s="1"/>
  <c r="C533" i="106"/>
  <c r="C28" i="99" s="1"/>
  <c r="C376" i="106"/>
  <c r="C488" i="106"/>
  <c r="C296" i="106"/>
  <c r="C72" i="106"/>
  <c r="C532" i="106"/>
  <c r="C27" i="99" s="1"/>
  <c r="C508" i="106"/>
  <c r="C456" i="106"/>
  <c r="C424" i="106"/>
  <c r="C392" i="106"/>
  <c r="C360" i="106"/>
  <c r="C9" i="100" s="1"/>
  <c r="C328" i="106"/>
  <c r="C264" i="106"/>
  <c r="C232" i="106"/>
  <c r="C200" i="106"/>
  <c r="C168" i="106"/>
  <c r="G13" i="70" s="1"/>
  <c r="C136" i="106"/>
  <c r="H13" i="79" s="1"/>
  <c r="C104" i="106"/>
  <c r="B29" i="67" s="1"/>
  <c r="C40" i="106"/>
  <c r="H9" i="53" s="1"/>
  <c r="C8" i="106"/>
  <c r="D7" i="53" s="1"/>
  <c r="C660" i="106"/>
  <c r="B9" i="105" s="1"/>
  <c r="C628" i="106"/>
  <c r="C596" i="106"/>
  <c r="H38" i="79" s="1"/>
  <c r="C564" i="106"/>
  <c r="R18" i="100" s="1"/>
  <c r="C507" i="106"/>
  <c r="C481" i="106"/>
  <c r="C449" i="106"/>
  <c r="C417" i="106"/>
  <c r="C385" i="106"/>
  <c r="L1" i="99" s="1"/>
  <c r="C353" i="106"/>
  <c r="C321" i="106"/>
  <c r="C289" i="106"/>
  <c r="C257" i="106"/>
  <c r="C225" i="106"/>
  <c r="C193" i="106"/>
  <c r="C161" i="106"/>
  <c r="B18" i="70" s="1"/>
  <c r="C129" i="106"/>
  <c r="H18" i="100" s="1"/>
  <c r="C97" i="106"/>
  <c r="C65" i="106"/>
  <c r="C33" i="106"/>
  <c r="C32" i="53" s="1"/>
  <c r="C685" i="106"/>
  <c r="C653" i="106"/>
  <c r="B3" i="105" s="1"/>
  <c r="C621" i="106"/>
  <c r="C589" i="106"/>
  <c r="A3" i="101" s="1"/>
  <c r="C557" i="106"/>
  <c r="U19" i="99" s="1"/>
  <c r="C525" i="106"/>
  <c r="C18" i="99" s="1"/>
  <c r="C506" i="106"/>
  <c r="H6" i="53" s="1"/>
  <c r="C480" i="106"/>
  <c r="C448" i="106"/>
  <c r="C416" i="106"/>
  <c r="C384" i="106"/>
  <c r="D1" i="99" s="1"/>
  <c r="C352" i="106"/>
  <c r="C320" i="106"/>
  <c r="C288" i="106"/>
  <c r="C256" i="106"/>
  <c r="C224" i="106"/>
  <c r="C192" i="106"/>
  <c r="C160" i="106"/>
  <c r="B17" i="70" s="1"/>
  <c r="C128" i="106"/>
  <c r="B48" i="79" s="1"/>
  <c r="C96" i="106"/>
  <c r="C64" i="106"/>
  <c r="M7" i="66" s="1"/>
  <c r="C32" i="106"/>
  <c r="B29" i="53" s="1"/>
  <c r="C684" i="106"/>
  <c r="C652" i="106"/>
  <c r="E13" i="105" s="1"/>
  <c r="C620" i="106"/>
  <c r="C588" i="106"/>
  <c r="C556" i="106"/>
  <c r="U18" i="99" s="1"/>
  <c r="C524" i="106"/>
  <c r="C17" i="99" s="1"/>
  <c r="C505" i="106"/>
  <c r="C473" i="106"/>
  <c r="B10" i="66" s="1"/>
  <c r="C441" i="106"/>
  <c r="C409" i="106"/>
  <c r="C377" i="106"/>
  <c r="C345" i="106"/>
  <c r="C313" i="106"/>
  <c r="C281" i="106"/>
  <c r="C249" i="106"/>
  <c r="C217" i="106"/>
  <c r="C185" i="106"/>
  <c r="C153" i="106"/>
  <c r="B7" i="70" s="1"/>
  <c r="C121" i="106"/>
  <c r="B25" i="79" s="1"/>
  <c r="C89" i="106"/>
  <c r="C57" i="106"/>
  <c r="C25" i="106"/>
  <c r="C677" i="106"/>
  <c r="B26" i="105" s="1"/>
  <c r="C645" i="106"/>
  <c r="E6" i="105" s="1"/>
  <c r="C613" i="106"/>
  <c r="C581" i="106"/>
  <c r="C549" i="106"/>
  <c r="S9" i="99" s="1"/>
  <c r="C517" i="106"/>
  <c r="J9" i="99" s="1"/>
  <c r="C4" i="106"/>
  <c r="C408" i="106"/>
  <c r="C280" i="106"/>
  <c r="C248" i="106"/>
  <c r="C184" i="106"/>
  <c r="B17" i="54" s="1"/>
  <c r="C88" i="106"/>
  <c r="C644" i="106"/>
  <c r="E5" i="105" s="1"/>
  <c r="C580" i="106"/>
  <c r="I9" i="100" s="1"/>
  <c r="C548" i="106"/>
  <c r="D43" i="99" s="1"/>
  <c r="C516" i="106"/>
  <c r="I9" i="99" s="1"/>
  <c r="G14" i="70"/>
  <c r="C12" i="53"/>
  <c r="B5" i="70"/>
  <c r="E14" i="53"/>
  <c r="E13" i="53"/>
  <c r="G8" i="70"/>
  <c r="G11" i="54"/>
  <c r="G13" i="54"/>
  <c r="B8" i="70"/>
  <c r="B9" i="54"/>
  <c r="D9" i="53"/>
  <c r="E16" i="70"/>
  <c r="B10" i="54"/>
  <c r="H26" i="99"/>
  <c r="G26" i="99"/>
  <c r="C20" i="99"/>
  <c r="H37" i="99"/>
  <c r="F36" i="99"/>
  <c r="O9" i="100"/>
  <c r="B25" i="105"/>
  <c r="B35" i="105"/>
  <c r="U10" i="99"/>
  <c r="B6" i="105"/>
  <c r="B14" i="105"/>
  <c r="H4" i="53"/>
  <c r="A27" i="99"/>
  <c r="U16" i="99"/>
  <c r="H9" i="100"/>
  <c r="B33" i="105"/>
  <c r="A3" i="79"/>
  <c r="H15" i="79"/>
  <c r="A4" i="79"/>
  <c r="D41" i="79"/>
  <c r="B22" i="79"/>
  <c r="B26" i="79"/>
  <c r="F10" i="54"/>
  <c r="O9" i="99" l="1"/>
  <c r="F26" i="99"/>
  <c r="L25" i="99"/>
  <c r="H44" i="79"/>
  <c r="A10" i="99"/>
  <c r="B13" i="79"/>
  <c r="F22" i="79"/>
  <c r="B31" i="79"/>
  <c r="N25" i="99"/>
  <c r="B8" i="79"/>
  <c r="F12" i="79"/>
  <c r="Q25" i="99"/>
  <c r="F18" i="79"/>
  <c r="B17" i="79"/>
  <c r="G1" i="70"/>
  <c r="C9" i="70"/>
  <c r="F3" i="101" s="1"/>
  <c r="D21" i="54"/>
  <c r="H14" i="53"/>
  <c r="B14" i="54"/>
  <c r="G25" i="99"/>
  <c r="E1" i="105"/>
  <c r="C25" i="99"/>
  <c r="D1" i="100"/>
  <c r="B23" i="79"/>
  <c r="P9" i="100"/>
  <c r="B9" i="79"/>
  <c r="C26" i="99"/>
  <c r="F18" i="100"/>
  <c r="G18" i="100"/>
  <c r="D39" i="67"/>
  <c r="B41" i="79"/>
  <c r="B36" i="53"/>
  <c r="I18" i="100"/>
  <c r="D12" i="79"/>
  <c r="U20" i="99"/>
  <c r="E9" i="99"/>
  <c r="K18" i="100"/>
  <c r="B21" i="54"/>
  <c r="D15" i="79"/>
  <c r="D19" i="79"/>
  <c r="D22" i="79"/>
  <c r="M10" i="66"/>
  <c r="D18" i="79"/>
  <c r="M18" i="100"/>
  <c r="C9" i="99"/>
  <c r="D32" i="100"/>
  <c r="B7" i="54"/>
  <c r="H45" i="79"/>
  <c r="B12" i="79"/>
  <c r="F45" i="79"/>
  <c r="C13" i="99"/>
  <c r="F44" i="79"/>
  <c r="A14" i="99"/>
  <c r="M9" i="99"/>
  <c r="B15" i="54"/>
  <c r="O18" i="100"/>
  <c r="D14" i="79"/>
  <c r="D8" i="53"/>
  <c r="N18" i="100"/>
  <c r="E15" i="70"/>
  <c r="F15" i="70" s="1"/>
  <c r="F6" i="70"/>
  <c r="L11" i="99"/>
  <c r="Q28" i="99"/>
  <c r="Q29" i="99"/>
  <c r="C9" i="79"/>
  <c r="Q7" i="100"/>
  <c r="Q35" i="99"/>
  <c r="P11" i="100"/>
  <c r="G36" i="99"/>
  <c r="C41" i="79" s="1"/>
  <c r="I28" i="99"/>
  <c r="I29" i="99"/>
  <c r="I30" i="99"/>
  <c r="I31" i="99"/>
  <c r="I32" i="99"/>
  <c r="I33" i="99"/>
  <c r="I34" i="99"/>
  <c r="I35" i="99"/>
  <c r="I27" i="99"/>
  <c r="A21" i="67"/>
  <c r="A22" i="67"/>
  <c r="A23" i="67"/>
  <c r="F35" i="99"/>
  <c r="K35" i="99" s="1"/>
  <c r="E27" i="79"/>
  <c r="E26" i="79"/>
  <c r="P15" i="100"/>
  <c r="P16" i="100"/>
  <c r="E17" i="100"/>
  <c r="E16" i="100"/>
  <c r="E15" i="100"/>
  <c r="E14" i="100"/>
  <c r="E13" i="100"/>
  <c r="E12" i="100"/>
  <c r="L17" i="99"/>
  <c r="L18" i="99"/>
  <c r="L19" i="99"/>
  <c r="J17" i="99"/>
  <c r="J18" i="99"/>
  <c r="J19" i="99"/>
  <c r="P14" i="100"/>
  <c r="P17" i="100"/>
  <c r="E27" i="100"/>
  <c r="E26" i="100"/>
  <c r="L26" i="100" s="1"/>
  <c r="E25" i="100"/>
  <c r="L25" i="100" s="1"/>
  <c r="E24" i="100"/>
  <c r="L24" i="100" s="1"/>
  <c r="E23" i="100"/>
  <c r="E22" i="100"/>
  <c r="E21" i="100"/>
  <c r="E20" i="100"/>
  <c r="E19" i="100"/>
  <c r="L19" i="100" s="1"/>
  <c r="E11" i="100"/>
  <c r="D4" i="100"/>
  <c r="D3" i="100"/>
  <c r="Q27" i="99"/>
  <c r="Q21" i="99"/>
  <c r="K12" i="99"/>
  <c r="K11" i="99"/>
  <c r="K14" i="99"/>
  <c r="J27" i="99"/>
  <c r="J16" i="99"/>
  <c r="J20" i="99"/>
  <c r="J15" i="99"/>
  <c r="I12" i="99"/>
  <c r="J14" i="99"/>
  <c r="I11" i="99"/>
  <c r="I25" i="100"/>
  <c r="P12" i="100"/>
  <c r="P13" i="100"/>
  <c r="H36" i="99"/>
  <c r="L12" i="99"/>
  <c r="L14" i="99"/>
  <c r="M36" i="99"/>
  <c r="N36" i="99"/>
  <c r="Q30" i="99"/>
  <c r="Q31" i="99"/>
  <c r="Q32" i="99"/>
  <c r="Q33" i="99"/>
  <c r="Q34" i="99"/>
  <c r="J28" i="99"/>
  <c r="J29" i="99"/>
  <c r="J30" i="99"/>
  <c r="J31" i="99"/>
  <c r="J32" i="99"/>
  <c r="J33" i="99"/>
  <c r="J34" i="99"/>
  <c r="J35" i="99"/>
  <c r="O21" i="99"/>
  <c r="N21" i="99"/>
  <c r="M21" i="99"/>
  <c r="L15" i="99"/>
  <c r="L16" i="99"/>
  <c r="L20" i="99"/>
  <c r="F11" i="70"/>
  <c r="F12" i="70"/>
  <c r="D4" i="99"/>
  <c r="D3" i="99"/>
  <c r="C32" i="67"/>
  <c r="E32" i="67"/>
  <c r="C31" i="67"/>
  <c r="B17" i="67"/>
  <c r="F15" i="54"/>
  <c r="F14" i="54"/>
  <c r="F11" i="54"/>
  <c r="F9" i="54"/>
  <c r="A24" i="67"/>
  <c r="B27" i="67"/>
  <c r="A20" i="67"/>
  <c r="C13" i="79"/>
  <c r="F8" i="54"/>
  <c r="C3" i="66"/>
  <c r="C4" i="66"/>
  <c r="C3" i="79"/>
  <c r="C4" i="79"/>
  <c r="C3" i="54"/>
  <c r="C4" i="54"/>
  <c r="F7" i="54"/>
  <c r="F18" i="54"/>
  <c r="F20" i="54"/>
  <c r="F22" i="54"/>
  <c r="C3" i="70"/>
  <c r="C4" i="70"/>
  <c r="F7" i="70"/>
  <c r="F8" i="70"/>
  <c r="F13" i="70"/>
  <c r="F14" i="70"/>
  <c r="B10" i="67"/>
  <c r="B12" i="67"/>
  <c r="B16" i="67"/>
  <c r="C30" i="67"/>
  <c r="C33" i="67"/>
  <c r="E33" i="67"/>
  <c r="C34" i="67"/>
  <c r="C35" i="67"/>
  <c r="E35" i="67"/>
  <c r="C36" i="67"/>
  <c r="S14" i="99" l="1"/>
  <c r="S16" i="99"/>
  <c r="F9" i="70"/>
  <c r="F4" i="101"/>
  <c r="U37" i="99" s="1"/>
  <c r="B13" i="101"/>
  <c r="S11" i="99"/>
  <c r="O34" i="99"/>
  <c r="S20" i="99"/>
  <c r="S17" i="99"/>
  <c r="S15" i="99"/>
  <c r="O28" i="99"/>
  <c r="S12" i="99"/>
  <c r="S19" i="99"/>
  <c r="U21" i="99"/>
  <c r="S18" i="99"/>
  <c r="T18" i="99" s="1"/>
  <c r="O33" i="99"/>
  <c r="L33" i="99" s="1"/>
  <c r="S33" i="99" s="1"/>
  <c r="T16" i="99"/>
  <c r="O32" i="99"/>
  <c r="O27" i="99"/>
  <c r="O31" i="99"/>
  <c r="L31" i="99" s="1"/>
  <c r="M38" i="99"/>
  <c r="O30" i="99"/>
  <c r="L30" i="99" s="1"/>
  <c r="O29" i="99"/>
  <c r="L29" i="99" s="1"/>
  <c r="S29" i="99" s="1"/>
  <c r="O35" i="99"/>
  <c r="L35" i="99" s="1"/>
  <c r="T19" i="99"/>
  <c r="G26" i="100"/>
  <c r="T20" i="99"/>
  <c r="G25" i="100"/>
  <c r="K25" i="100" s="1"/>
  <c r="T15" i="99"/>
  <c r="G24" i="100"/>
  <c r="G19" i="100"/>
  <c r="I19" i="100"/>
  <c r="G22" i="100"/>
  <c r="L22" i="100"/>
  <c r="T12" i="99"/>
  <c r="I26" i="100"/>
  <c r="I23" i="100"/>
  <c r="L23" i="100"/>
  <c r="L32" i="99"/>
  <c r="S32" i="99" s="1"/>
  <c r="I22" i="100"/>
  <c r="C35" i="79"/>
  <c r="E2" i="70"/>
  <c r="E15" i="53" s="1"/>
  <c r="E20" i="67" s="1"/>
  <c r="C32" i="79"/>
  <c r="I24" i="100"/>
  <c r="G21" i="100"/>
  <c r="L21" i="100"/>
  <c r="C8" i="79"/>
  <c r="F28" i="100"/>
  <c r="F30" i="100" s="1"/>
  <c r="E12" i="79" s="1"/>
  <c r="L20" i="100"/>
  <c r="Q36" i="99"/>
  <c r="H28" i="100"/>
  <c r="H30" i="100" s="1"/>
  <c r="E18" i="79" s="1"/>
  <c r="L28" i="99"/>
  <c r="L21" i="99"/>
  <c r="P22" i="99" s="1"/>
  <c r="T14" i="99"/>
  <c r="J21" i="99"/>
  <c r="C27" i="79" s="1"/>
  <c r="I21" i="99"/>
  <c r="T11" i="99"/>
  <c r="I37" i="99"/>
  <c r="E41" i="79" s="1"/>
  <c r="N38" i="99"/>
  <c r="C33" i="79"/>
  <c r="J36" i="99"/>
  <c r="I21" i="100"/>
  <c r="I20" i="100"/>
  <c r="T17" i="99"/>
  <c r="Z21" i="99"/>
  <c r="G23" i="100"/>
  <c r="G20" i="100"/>
  <c r="T33" i="99" l="1"/>
  <c r="T32" i="99"/>
  <c r="T29" i="99"/>
  <c r="S28" i="99"/>
  <c r="T28" i="99" s="1"/>
  <c r="S30" i="99"/>
  <c r="T30" i="99" s="1"/>
  <c r="S31" i="99"/>
  <c r="T31" i="99" s="1"/>
  <c r="Z36" i="99"/>
  <c r="R35" i="99"/>
  <c r="S35" i="99" s="1"/>
  <c r="T35" i="99" s="1"/>
  <c r="K26" i="100"/>
  <c r="K19" i="100"/>
  <c r="K24" i="100"/>
  <c r="O36" i="99"/>
  <c r="O38" i="99" s="1"/>
  <c r="Q22" i="99"/>
  <c r="K22" i="100"/>
  <c r="K23" i="100"/>
  <c r="L27" i="99"/>
  <c r="S27" i="99" s="1"/>
  <c r="Q41" i="99"/>
  <c r="C39" i="79"/>
  <c r="K21" i="100"/>
  <c r="L34" i="99"/>
  <c r="S34" i="99" s="1"/>
  <c r="C12" i="79"/>
  <c r="I29" i="100"/>
  <c r="I30" i="100" s="1"/>
  <c r="E19" i="79" s="1"/>
  <c r="I41" i="99"/>
  <c r="C29" i="79" s="1"/>
  <c r="Q38" i="99"/>
  <c r="C18" i="79"/>
  <c r="K20" i="100"/>
  <c r="E28" i="79"/>
  <c r="E29" i="79" s="1"/>
  <c r="F26" i="79" s="1"/>
  <c r="C26" i="79"/>
  <c r="N22" i="99"/>
  <c r="M22" i="99"/>
  <c r="O22" i="99"/>
  <c r="G29" i="100"/>
  <c r="C28" i="79"/>
  <c r="R11" i="99" l="1"/>
  <c r="T13" i="99" s="1"/>
  <c r="R36" i="99"/>
  <c r="T37" i="99" s="1"/>
  <c r="R14" i="99"/>
  <c r="R21" i="99"/>
  <c r="T21" i="99" s="1"/>
  <c r="T41" i="99"/>
  <c r="C34" i="79"/>
  <c r="L36" i="99"/>
  <c r="L37" i="99" s="1"/>
  <c r="T27" i="99"/>
  <c r="C38" i="79"/>
  <c r="K36" i="99"/>
  <c r="J41" i="99"/>
  <c r="I23" i="99"/>
  <c r="E40" i="79" s="1"/>
  <c r="R41" i="99"/>
  <c r="E38" i="79" s="1"/>
  <c r="C19" i="79"/>
  <c r="T34" i="99"/>
  <c r="K21" i="99"/>
  <c r="F29" i="79"/>
  <c r="F27" i="79"/>
  <c r="F28" i="79"/>
  <c r="G30" i="100"/>
  <c r="E15" i="79" s="1"/>
  <c r="C15" i="79"/>
  <c r="L38" i="99" l="1"/>
  <c r="L22" i="99"/>
  <c r="N37" i="99"/>
  <c r="M37" i="99"/>
  <c r="O37" i="99"/>
  <c r="Q37" i="99"/>
  <c r="N39" i="99" l="1"/>
  <c r="P39" i="99"/>
  <c r="E35" i="79" s="1"/>
  <c r="J37" i="99"/>
  <c r="Q39" i="99"/>
  <c r="L39" i="99"/>
  <c r="O39" i="99"/>
  <c r="E34" i="79" s="1"/>
  <c r="I22" i="99"/>
  <c r="M39" i="99"/>
  <c r="J22" i="99"/>
  <c r="M20" i="100"/>
  <c r="O20" i="100" l="1"/>
  <c r="N20" i="100"/>
  <c r="Q20" i="100" s="1"/>
  <c r="E39" i="79"/>
  <c r="E32" i="79"/>
  <c r="F36" i="79" s="1"/>
  <c r="P20" i="100"/>
  <c r="M23" i="100"/>
  <c r="M19" i="100"/>
  <c r="N23" i="100" l="1"/>
  <c r="Q23" i="100" s="1"/>
  <c r="O23" i="100"/>
  <c r="O19" i="100"/>
  <c r="N19" i="100"/>
  <c r="Q19" i="100" s="1"/>
  <c r="H13" i="70"/>
  <c r="B34" i="67"/>
  <c r="B32" i="67"/>
  <c r="B7" i="67"/>
  <c r="B33" i="67"/>
  <c r="B34" i="79"/>
  <c r="C27" i="100"/>
  <c r="G1" i="66"/>
  <c r="C2" i="54"/>
  <c r="C2" i="66" s="1"/>
  <c r="B35" i="79"/>
  <c r="C14" i="100"/>
  <c r="C11" i="100"/>
  <c r="C23" i="100"/>
  <c r="C12" i="100"/>
  <c r="A19" i="100"/>
  <c r="A11" i="100"/>
  <c r="C10" i="100"/>
  <c r="F7" i="66"/>
  <c r="F10" i="66"/>
  <c r="C17" i="100"/>
  <c r="C22" i="100"/>
  <c r="B33" i="79"/>
  <c r="C16" i="100"/>
  <c r="C26" i="100"/>
  <c r="B30" i="67"/>
  <c r="E25" i="99"/>
  <c r="C20" i="100"/>
  <c r="C15" i="100"/>
  <c r="C25" i="100"/>
  <c r="B36" i="67"/>
  <c r="B23" i="67"/>
  <c r="B22" i="67"/>
  <c r="G9" i="54"/>
  <c r="C24" i="100"/>
  <c r="B31" i="67"/>
  <c r="C13" i="100"/>
  <c r="C21" i="100"/>
  <c r="S25" i="99"/>
  <c r="B32" i="79"/>
  <c r="C19" i="100"/>
  <c r="M22" i="100"/>
  <c r="B35" i="67"/>
  <c r="C18" i="100"/>
  <c r="C1" i="79"/>
  <c r="F13" i="54"/>
  <c r="A4" i="70"/>
  <c r="B4" i="99"/>
  <c r="C1" i="70"/>
  <c r="B20" i="67"/>
  <c r="P23" i="100"/>
  <c r="P19" i="100"/>
  <c r="M26" i="100"/>
  <c r="M25" i="100"/>
  <c r="M21" i="100"/>
  <c r="M24" i="100"/>
  <c r="X28" i="99"/>
  <c r="N21" i="100" l="1"/>
  <c r="Q21" i="100" s="1"/>
  <c r="O21" i="100"/>
  <c r="O22" i="100"/>
  <c r="N22" i="100"/>
  <c r="Q22" i="100" s="1"/>
  <c r="N25" i="100"/>
  <c r="Q25" i="100" s="1"/>
  <c r="O25" i="100"/>
  <c r="L28" i="100"/>
  <c r="C14" i="79" s="1"/>
  <c r="N26" i="100"/>
  <c r="Q26" i="100" s="1"/>
  <c r="O26" i="100"/>
  <c r="O24" i="100"/>
  <c r="N24" i="100"/>
  <c r="Q24" i="100" s="1"/>
  <c r="E2" i="66"/>
  <c r="E19" i="53" s="1"/>
  <c r="E24" i="67" s="1"/>
  <c r="P22" i="100"/>
  <c r="X8" i="99"/>
  <c r="B24" i="67"/>
  <c r="C1" i="66"/>
  <c r="A4" i="66"/>
  <c r="B4" i="100"/>
  <c r="A4" i="54"/>
  <c r="C1" i="54"/>
  <c r="B21" i="67"/>
  <c r="F21" i="54"/>
  <c r="D35" i="67"/>
  <c r="D32" i="67"/>
  <c r="F12" i="54"/>
  <c r="D33" i="67"/>
  <c r="F19" i="54"/>
  <c r="A3" i="66"/>
  <c r="A3" i="54"/>
  <c r="B3" i="99"/>
  <c r="A3" i="70"/>
  <c r="B3" i="100"/>
  <c r="P21" i="100"/>
  <c r="P25" i="100"/>
  <c r="X27" i="99"/>
  <c r="P24" i="100"/>
  <c r="P26" i="100"/>
  <c r="X31" i="99"/>
  <c r="M29" i="100"/>
  <c r="X33" i="99" l="1"/>
  <c r="X34" i="99"/>
  <c r="X30" i="99"/>
  <c r="U41" i="99"/>
  <c r="P29" i="100"/>
  <c r="P31" i="100" s="1"/>
  <c r="E2" i="54"/>
  <c r="E16" i="53" s="1"/>
  <c r="E21" i="67" s="1"/>
  <c r="Y8" i="99"/>
  <c r="AA8" i="99"/>
  <c r="Z8" i="99"/>
  <c r="AB8" i="99"/>
  <c r="X32" i="99"/>
  <c r="C22" i="79"/>
  <c r="M30" i="100"/>
  <c r="X29" i="99"/>
  <c r="O28" i="100" l="1"/>
  <c r="N28" i="100"/>
  <c r="V27" i="99"/>
  <c r="C23" i="79"/>
  <c r="E48" i="79" s="1"/>
  <c r="P30" i="100"/>
  <c r="E23" i="79" s="1"/>
  <c r="P2" i="100"/>
  <c r="E18" i="53" s="1"/>
  <c r="E23" i="67" s="1"/>
  <c r="R2" i="99"/>
  <c r="E22" i="79"/>
  <c r="J2" i="99"/>
  <c r="E17" i="53" l="1"/>
  <c r="E22" i="67" s="1"/>
  <c r="E44" i="79"/>
  <c r="E45" i="79"/>
</calcChain>
</file>

<file path=xl/sharedStrings.xml><?xml version="1.0" encoding="utf-8"?>
<sst xmlns="http://schemas.openxmlformats.org/spreadsheetml/2006/main" count="2305" uniqueCount="1960">
  <si>
    <t>Das Statusfeld im Menu oder oben auf jeder Seite zeigt an, welche Formularteile bereits vollständig ausgefüllt sind. Solange der Status auf rot ist, sind noch nicht alle Pflichtfelder ausgefüllt.</t>
  </si>
  <si>
    <t>Wie lange dauert das Programm (Angabe in Monate)?</t>
  </si>
  <si>
    <t>Beschreiben der Gründe und Hemmnisse, warum die Sparpotentiale heute nicht genutzt werden.</t>
  </si>
  <si>
    <t>An wen richten sich die Leistungen (Beschreibung der Zielgruppen)?</t>
  </si>
  <si>
    <t>Welche Verhaltensänderungen sollen die Leistungen bei den Zielgruppen erreichen (Investitionsverhalten, Nutzungsverhalten, Benutzerverhalten oder andere)?</t>
  </si>
  <si>
    <t>kWh/Jahr</t>
  </si>
  <si>
    <t>Welcher Teil soll über die Wettbewerblichen Ausschreibungen gedeckt werden?</t>
  </si>
  <si>
    <t>Was wird mit den Mitteln der Wettbewerblichen Ausschreibungen bezahlt?</t>
  </si>
  <si>
    <t>Wie werden die vom Endkunden realisierten Massnahmen erfasst und der entsprechende Stromverbrauch berechnet?</t>
  </si>
  <si>
    <t>Bestehende Risiken bei der Finanzierung? Bei Risiken bitte beschreiben, was dagegen unternommen wird.</t>
  </si>
  <si>
    <t>Unsicherheiten (Motivation, Verhaltensänderung) bei den Zielgruppen, welche die Einsparung beeinflussen.</t>
  </si>
  <si>
    <t>Technisch-betriebliche Unsicherheiten (Ausfälle, schlechter Wirkungsgrad)</t>
  </si>
  <si>
    <t>Welche Signalwirkung  wird von dem Programm erhofft?</t>
  </si>
  <si>
    <t>Besteht ein Verstärkungseffekt und wenn ja, welcher?</t>
  </si>
  <si>
    <t xml:space="preserve">Welchen Einfluss hat der finanzielle Beitrag auf das Programm und wie werden allfällige Mittelverdrängung von bestehenden Programmen vermieden? </t>
  </si>
  <si>
    <t>Erbringen des Belegs, dass ohne den finanziellen Beitrag das Programm nicht oder nicht im selben Umfang durchgeführt werden könnte. Klare Abgrenzung zu bereits bestehenden Programmen und Ausschluss einer Mittelverdrängung oder einer Schwächung der Wirkung bestehender Programme.</t>
  </si>
  <si>
    <t>Bei Schlüsselpersonen den Lebenslauf beilegen</t>
  </si>
  <si>
    <t>Organisation 2</t>
  </si>
  <si>
    <t>Organisation 3</t>
  </si>
  <si>
    <t>Organisation 4</t>
  </si>
  <si>
    <t>Weitere Organisationen in der Trägerschaft</t>
  </si>
  <si>
    <t>Ansprechperson Wettbewerbliche Ausschreibungen</t>
  </si>
  <si>
    <t>Name der Organisation 2 der Trägerschaft</t>
  </si>
  <si>
    <t>Name der Organisation 3 der Trägerschaft</t>
  </si>
  <si>
    <t>Name der Organisation 4 der Trägerschaft</t>
  </si>
  <si>
    <t>Gestaltung Organisation</t>
  </si>
  <si>
    <t>Trägerschaft (O1, O2, O3, O4)</t>
  </si>
  <si>
    <t>Personelle Ressourcen</t>
  </si>
  <si>
    <t>Person 1 (Projektleiter und Ansprechpartner)</t>
  </si>
  <si>
    <t>Funktion im Unternehmen</t>
  </si>
  <si>
    <t>Welche Effizienz- bzw. Sparpotentiale bestehen gegenüber der heutigen Situation und mit welchen Massnahmen können diese Potentiale genutzt werden?</t>
  </si>
  <si>
    <t>Massnahme &amp; Ziel</t>
  </si>
  <si>
    <t>Welche Massnahmen beinhaltet das Programm mit welchem Ziel?</t>
  </si>
  <si>
    <t>Berechnung der Reduktion des Stromverbrauchs</t>
  </si>
  <si>
    <t>Hinweis</t>
  </si>
  <si>
    <t>Ø Verbrauch pro Jahr</t>
  </si>
  <si>
    <t>Eintrag der durchschn. Nutzungsdauer der betroffenen Anwendung</t>
  </si>
  <si>
    <t>Ø Verbrauch/Jahr</t>
  </si>
  <si>
    <t>Erwartete Stromeinsparung</t>
  </si>
  <si>
    <t>variable Beiträge Jahr 1</t>
  </si>
  <si>
    <t>variable Beiträge Jahr 2</t>
  </si>
  <si>
    <t>variable Beiträge Jahr 3</t>
  </si>
  <si>
    <t>Total variable Beiträge Programm</t>
  </si>
  <si>
    <t>variable Beiträge Programm / Anwendung</t>
  </si>
  <si>
    <t>Finanzieller Beitrag / Anwendung</t>
  </si>
  <si>
    <t>Budget</t>
  </si>
  <si>
    <t>Massnahmen</t>
  </si>
  <si>
    <t>Übertrag Kosten von (6.2)</t>
  </si>
  <si>
    <t>Beilage 1</t>
  </si>
  <si>
    <t>Beilage 2</t>
  </si>
  <si>
    <t>Beilage 3</t>
  </si>
  <si>
    <t>Beilage 4</t>
  </si>
  <si>
    <t>Beilage 5</t>
  </si>
  <si>
    <t>Beilage 6</t>
  </si>
  <si>
    <t>Beilage 7</t>
  </si>
  <si>
    <t>Beilage 8</t>
  </si>
  <si>
    <t>Beilage 9</t>
  </si>
  <si>
    <t>Beilage 10</t>
  </si>
  <si>
    <t>Trägerschaft / Organisation</t>
  </si>
  <si>
    <t>Programmumsetzung / Kommunikation</t>
  </si>
  <si>
    <t>Programmumsetzung (Zusammenfassung)</t>
  </si>
  <si>
    <t>Kommunikationskonzept (Zusammenfassung)</t>
  </si>
  <si>
    <t>Wie ist die Umsetzung des Programms organisiert?</t>
  </si>
  <si>
    <t>Beschreibung der Programmumsetzung und der Kommunikation</t>
  </si>
  <si>
    <t>Beilage mit den Details der Programmumsetzung mit Beschreibung der Strukturen, Prozesse, Instrumente und Hilfsmittel und einem Projektplan mit Timeline)</t>
  </si>
  <si>
    <t>Total der Kosten des Programmes</t>
  </si>
  <si>
    <t>Akzeptanz</t>
  </si>
  <si>
    <t>Richtigkeit, Vollständigkeit &amp; Überprüfbarkeit der Angaben</t>
  </si>
  <si>
    <t>Unterschrift</t>
  </si>
  <si>
    <t>Ort, Datum</t>
  </si>
  <si>
    <t>Rechtsgültige Unterschrift(en) des Antragstellers</t>
  </si>
  <si>
    <t>Effizienz des Programms</t>
  </si>
  <si>
    <t>Durchschnittlicher Stromverbrauch mit Programm pro Jahr</t>
  </si>
  <si>
    <t>Durchschnittliche Stromeinsparung pro Jahr</t>
  </si>
  <si>
    <t>Ø Einsparung in kWh/Jahr</t>
  </si>
  <si>
    <t>Referenzentwicklung Verbrauch ohne Programm in kWh und CHF</t>
  </si>
  <si>
    <t>Stromverbrauch mit Programm über die gesamte Nutzungsdauer in kWh und CHF</t>
  </si>
  <si>
    <t>Das Antragsformular fasst die wichtigsten Punkte des Programms zur Evaluation zusammen!</t>
  </si>
  <si>
    <t>C22</t>
  </si>
  <si>
    <t>C23</t>
  </si>
  <si>
    <t>C24</t>
  </si>
  <si>
    <t>C25</t>
  </si>
  <si>
    <t>C26</t>
  </si>
  <si>
    <t>C30</t>
  </si>
  <si>
    <t>C32</t>
  </si>
  <si>
    <t>C35</t>
  </si>
  <si>
    <t>C37</t>
  </si>
  <si>
    <t>C40</t>
  </si>
  <si>
    <t>C42</t>
  </si>
  <si>
    <t>H10, H11</t>
  </si>
  <si>
    <t>H16</t>
  </si>
  <si>
    <t>H29</t>
  </si>
  <si>
    <t>H31</t>
  </si>
  <si>
    <t>H33</t>
  </si>
  <si>
    <t>E2</t>
  </si>
  <si>
    <t>Payback-Zeit des Programms</t>
  </si>
  <si>
    <t>Angabe der Verbrauchsentwicklung ohne Programm pro Jahr und über die gesamte Nutzungszeit der Anwendung</t>
  </si>
  <si>
    <t>Angabe der Verbrauchsentwicklung mit Programm pro Jahr und über die gesamte Nutzungszeit der Anwendung</t>
  </si>
  <si>
    <t>Total der variablen Beiträge des Programms an umgesetzte Anwendungen</t>
  </si>
  <si>
    <t>Kosten für Marketing- und Kommunikationsmassnahmen gemäss Kommunikationskonzept</t>
  </si>
  <si>
    <t>nicht ausfüllen !!</t>
  </si>
  <si>
    <t>Programmbeschreibung</t>
  </si>
  <si>
    <t>Beilagen</t>
  </si>
  <si>
    <t>Die Umsetzungsrisiken sollen möglichst klein sein. Sie fliessen in die Bewertung des Programms ein mit einer Gewichtung von 0.15.</t>
  </si>
  <si>
    <t>Titel Beilage</t>
  </si>
  <si>
    <t>Kurzbeschreibung Inhalt Beilage</t>
  </si>
  <si>
    <t>Bemerkungen / Anregungen</t>
  </si>
  <si>
    <t>Beschreibung der relevanten Marktakteure (Endanwender, Marktmittler, Hersteller) und ihrer Rolle.</t>
  </si>
  <si>
    <t>Beschreiben der Massnahmen mit Zielen, Leistungen und Zielgruppen (bei mehr als drei Massnahmen bitte Massnahmen zusammenfassen).</t>
  </si>
  <si>
    <t>Beschreiben von Unsicherheiten bei der Wirkungsabschätzung (bzw. ungenügende empirische Evidenz).</t>
  </si>
  <si>
    <t>Zusatzanforderungen müssen nicht zwingend erfüllt werden, sie werden aber bei der Beurteilung mit einer Gewichtung von 0.1 berücksichtigt.</t>
  </si>
  <si>
    <t>Beschreiben des Signaleffekts der verschiedenen Massnahmen.
Dient das Programm dazu, das Thema effizienter Elektrizitätsverbrauch bei den relevanten Akteuren zu verankern?</t>
  </si>
  <si>
    <t>1) Management summary</t>
  </si>
  <si>
    <t>2) Programmidee</t>
  </si>
  <si>
    <t>3) Ausgangslage</t>
  </si>
  <si>
    <t>4) Ziele und Massnahmen</t>
  </si>
  <si>
    <t>5) Organisation und Finanzierung</t>
  </si>
  <si>
    <t>6) Monitoring</t>
  </si>
  <si>
    <t>7) Programmrisiken</t>
  </si>
  <si>
    <t>Organisation 1 (Leadpartner)</t>
  </si>
  <si>
    <t>Leadpartner</t>
  </si>
  <si>
    <t>Programmakronym</t>
  </si>
  <si>
    <t>Beiträge Finanzierung andere</t>
  </si>
  <si>
    <t>Eigenleistungen</t>
  </si>
  <si>
    <t>Förderbeiträge private Organisationen</t>
  </si>
  <si>
    <t>Förderbeiträge öffentli. Organisationen</t>
  </si>
  <si>
    <t>Von der Trägerschaft erbrachte Eigenleistungen (z.B. Personal, Infrastruktur, etc.)</t>
  </si>
  <si>
    <t>Sobald alle Pflichtinformationen ausgefüllt wurden, wechselt der Status auf grün.</t>
  </si>
  <si>
    <t>Da Programme sehr unterschiedlich sein können, erstellt der Antragsteller eine vollständige Programmbeschreibung und überträgt die Eckdaten des Programms in das Programmantragsformular.</t>
  </si>
  <si>
    <t>Formulare müssen nicht ausgefüllt werden. Infos werden von anderen Arbeitsblättern übernommen.</t>
  </si>
  <si>
    <t>Wichtige Hinweise vor dem Ausfüllen eines Antrags.</t>
  </si>
  <si>
    <t>Mit dem Anklicken des Logos ProKilowatt kehrt man zum Menu zurück.</t>
  </si>
  <si>
    <t>Nutzungsdauer der betroffenen Anwendungen, welche mit den Massnahmen tangiert werden.</t>
  </si>
  <si>
    <t>Für Detailbeschreibungen der weiteren Partner der Programmträgerschaft, bitte die Formulare P1-P3 verwenden. Anklicken Link Partner x.</t>
  </si>
  <si>
    <t>Von welcher/n Organisation/en wird das Programm getragen? Bei mehreren Organisationen: Wer übernimmt die Federführung? Welche Funktionen bzw. Rollen (inkl. Kompetenzen) nehmen die verschiedenen Organisationen ein? Wie gestalten die Organisationen die Zusammenarbeit?
Beilage Organisation (Organigramm, Zuständigkeiten)</t>
  </si>
  <si>
    <t>Wie relevant sind die verschiedenen Hemmnisse?</t>
  </si>
  <si>
    <t>Welche Hemmnisse werden abgebaut?</t>
  </si>
  <si>
    <t>Hier erfolgt die quantitative Erläuterung der Referenzentwicklung, des Einsparpotentials und der Beiträge der Wettbewerblichen Ausschreibungen.</t>
  </si>
  <si>
    <t>Anzahl geplante umgesetzte Anwendungen im ersten Programmjahr</t>
  </si>
  <si>
    <t>Anzahl geplante umgesetzte Anwendungen im zweiten Programmjahr</t>
  </si>
  <si>
    <t>Anzahl geplante umgesetzte Anwendungen im dritten Programmjahr</t>
  </si>
  <si>
    <t>Anzahl umgesetzte Anwendungen im ersten Programmjahr</t>
  </si>
  <si>
    <t>Anzahl umgesetzte Anwendungen im zweiten Programmjahr</t>
  </si>
  <si>
    <t>Anzahl umgesetzte Anwendungen im dritten Programmjahr</t>
  </si>
  <si>
    <t>Unsichere Rahmenbedingungen, welche der Zielerreichung im Wege stehen könnten.</t>
  </si>
  <si>
    <t>Aus welchen Gründen (Hemmnisse) wurden die Sparpotenziale bis heute nicht ausgeschöpft?</t>
  </si>
  <si>
    <t>Beschreibung der Ausgangslage und der Anwendung, welche mit dem Programm beeinflusst werden sollen.</t>
  </si>
  <si>
    <t>Beschreibung der Potentiale für Einsparungen gegenüber der heutigen Situation.
Beschreibung der einzelnen Massnahmen, mit welchen die Potentiale genutzt werden können.</t>
  </si>
  <si>
    <t>Erklären der Relevanz der verschiedenen Hemmnisse (Gewichtung).</t>
  </si>
  <si>
    <t>Welche Leistungen bzw. Produkte bietet das Programm an (Art, Umfang und Qualität der Leistungen)?</t>
  </si>
  <si>
    <t>Erfolgt eine Ergänzung zu bestehenden Massnahmen von Bund und Kanton (Ja/Nein)? Wenn Ja, in welcher Weise?</t>
  </si>
  <si>
    <t>Variable Beiträge an Anwendungen, welche im Rahmen des Programms umgesetzt werden.</t>
  </si>
  <si>
    <t>Beschreiben der Finanzierung und der involvierten Partner für die Finanzierung.</t>
  </si>
  <si>
    <t>Beschreiben von Technologierisiken oder -unsicherheiten bei der Umsetzung von Effizienz-Massnahmen.</t>
  </si>
  <si>
    <t>Fehlende personelle Ressourcen und mangelndes Fachwissen.</t>
  </si>
  <si>
    <t>Beschreiben des Verstärkungseffekts der verschiedenen Massnahmen.
Welche bestehenden oder geplanten Massnahmen unterstützt das Programm?</t>
  </si>
  <si>
    <t>Beschreiben des Selbstläufereffekts der verschiedenen Massnahmen.
Verfügt das Programm über das Potential, künftig ohne Unterstützung der "Wettbewerblichen Ausschreibungen" weitergeführt zu werden?</t>
  </si>
  <si>
    <t>Beschreiben des Innovationseffekts der verschiedenen Massnahmen.
Führt das Programm zu einer rascheren Marktreife von neuen Technologien bzw. zur Diffusion von innovativen Technologien und Effizienzmassnahmen?</t>
  </si>
  <si>
    <t>Welche Massnahmen sind vorgesehen, um das Programm bekannt zu machen, bzw. das Zielpublikum zu erreichen?</t>
  </si>
  <si>
    <t>SH Schaffhausen</t>
  </si>
  <si>
    <t>"a fonds perdu" Beiträge Bund, Kanton und andere öffentliche Institutionen</t>
  </si>
  <si>
    <t>E-mail</t>
  </si>
  <si>
    <t>Erklärung oder Präzisierung Rechtsform, falls Rechtsform Privatperson, öffentlich-rechtliche Körperschaft oder andere ist</t>
  </si>
  <si>
    <t>Wie gestalten sich die Organisation und die Zusammenarbeit der involvierten Organisationen?</t>
  </si>
  <si>
    <t>Erbringen des Nachweises, dass das Programm ohne den Zuschlag der Wettbewerblichen Ausschreibungen nicht oder nicht im gleichen Umfang umgesetzt werden kann.</t>
  </si>
  <si>
    <t xml:space="preserve">Darlegen der Zusammenhänge zwischen den bestehenden Hemmissen und der im Programm angebotenen Massnahmen. Die geltend gemachten Hemmnisse sind zu beschreiben und zu begründen.
Es ist darzulegen, welcher Teil der Zielgruppen von den Hemmnissen betroffen ist. </t>
  </si>
  <si>
    <t>Office fédéral de l'énergie OFEN</t>
  </si>
  <si>
    <t>Bureau pour les appels d'offres</t>
  </si>
  <si>
    <t>publics dans le domaine de l'efficacité électrique</t>
  </si>
  <si>
    <t>Rubrique</t>
  </si>
  <si>
    <t>Statut</t>
  </si>
  <si>
    <t>Page de titre</t>
  </si>
  <si>
    <t>Chiffres-clés du programme</t>
  </si>
  <si>
    <t>Brève description du programme</t>
  </si>
  <si>
    <t>Situation initiale</t>
  </si>
  <si>
    <t>Objectifs et mesures / Partie 1</t>
  </si>
  <si>
    <t>Objectifs et mesures / Partie 2</t>
  </si>
  <si>
    <t>Résumé de l'analyse des effets</t>
  </si>
  <si>
    <t>Organisme porteur / Organisation</t>
  </si>
  <si>
    <t>Mise en œuvre du programme / Communication</t>
  </si>
  <si>
    <t>Financement</t>
  </si>
  <si>
    <t>Risques du programme</t>
  </si>
  <si>
    <t>Additionnalité</t>
  </si>
  <si>
    <t>Liste des annexes</t>
  </si>
  <si>
    <t>Remarques / Suggestions</t>
  </si>
  <si>
    <t>Brèves instructions (formulaire de demande)</t>
  </si>
  <si>
    <t>Champs obligatoires</t>
  </si>
  <si>
    <t>Les champs sur fond gris clair sont des champs destinés à la saisie de texte ou de nombres. La hauteur des lignes ne doit pas être modifiée.</t>
  </si>
  <si>
    <t>Les champs sur fond bleu clair contiennent des résultats de calculs et ne peuvent pas être modifiés. Les formules sont visibles de façon à pouvoir comprendre les calculs.</t>
  </si>
  <si>
    <t>ne pas remplir !!</t>
  </si>
  <si>
    <t xml:space="preserve">Le champ Statut dans le menu ou en haut de chaque page indique quelles parties du formulaire sont déjà complètement remplies. Le statut reste rouge tant que tous les champs obligatoires ne sont pas remplis. </t>
  </si>
  <si>
    <t>Dès que toutes les informations obligatoires ont été fournies, le statut passe au vert.</t>
  </si>
  <si>
    <t>Le formulaire de demande résume les points clés du programme pour en faciliter la première évaluation !</t>
  </si>
  <si>
    <t>Les programmes pouvant être très différents, le requérant rédige une description complète du programme et en présente les données clés dans le formulaire de demande pour programme.</t>
  </si>
  <si>
    <t>Brèves indications sur la façon de procéder</t>
  </si>
  <si>
    <t>Remarques importantes à lire avant de remplir une demande</t>
  </si>
  <si>
    <t>1) État récapitulatif</t>
  </si>
  <si>
    <t>2) Quintessence du programme</t>
  </si>
  <si>
    <t>3) Situation initiale</t>
  </si>
  <si>
    <t>4) Objectifs et mesures</t>
  </si>
  <si>
    <t>5) Organisation et financement</t>
  </si>
  <si>
    <t>6) Monitorage</t>
  </si>
  <si>
    <t>7) Risques du programme</t>
  </si>
  <si>
    <t>Pour retourner au menu, cliquer sur le logo ProKilowatt</t>
  </si>
  <si>
    <t>Mandaté par l'Office fédéral de l'énergie OFEN</t>
  </si>
  <si>
    <t>SA</t>
  </si>
  <si>
    <t>SARL</t>
  </si>
  <si>
    <t>Raison individuelle</t>
  </si>
  <si>
    <t>Personne privée</t>
  </si>
  <si>
    <t>Collectivité de droit public</t>
  </si>
  <si>
    <t>autre</t>
  </si>
  <si>
    <t>oui</t>
  </si>
  <si>
    <t>non</t>
  </si>
  <si>
    <t>AG Argovie</t>
  </si>
  <si>
    <t>AI Appenzell Rhodes-Intérieures</t>
  </si>
  <si>
    <t>AR Appenzell Rhodes-Extérieures</t>
  </si>
  <si>
    <t>BL Bâle-Campagne</t>
  </si>
  <si>
    <t>BS Bâle-Ville</t>
  </si>
  <si>
    <t xml:space="preserve">BE Berne </t>
  </si>
  <si>
    <t>FR Fribourg</t>
  </si>
  <si>
    <t>GE Genève</t>
  </si>
  <si>
    <t>GL Glaris</t>
  </si>
  <si>
    <t>GR Grisons</t>
  </si>
  <si>
    <t>LU Lucerne</t>
  </si>
  <si>
    <t>NE Neuchâtel</t>
  </si>
  <si>
    <t xml:space="preserve">NW Nidwald </t>
  </si>
  <si>
    <t>OW Obwald</t>
  </si>
  <si>
    <t xml:space="preserve">SH Schaffhouse </t>
  </si>
  <si>
    <t>SO Soleure</t>
  </si>
  <si>
    <t>SG Saint-Gall</t>
  </si>
  <si>
    <t>TG Thurgovie</t>
  </si>
  <si>
    <t>VD Vaud</t>
  </si>
  <si>
    <t>VS Valais</t>
  </si>
  <si>
    <t>ZG Zoug</t>
  </si>
  <si>
    <t>ZH Zurich</t>
  </si>
  <si>
    <t>aucun</t>
  </si>
  <si>
    <t>AEnEC</t>
  </si>
  <si>
    <t>Convention cantonale</t>
  </si>
  <si>
    <t>Nationale</t>
  </si>
  <si>
    <t>Régionale</t>
  </si>
  <si>
    <t>Cantonale</t>
  </si>
  <si>
    <t>Locale</t>
  </si>
  <si>
    <t>Numéro du programme</t>
  </si>
  <si>
    <t>Personne de contact</t>
  </si>
  <si>
    <t>Ø Durée d'utilisation</t>
  </si>
  <si>
    <t>Économies d'électricité attendues</t>
  </si>
  <si>
    <t>Ø Économies en kWh/an</t>
  </si>
  <si>
    <t>Coûts du programme</t>
  </si>
  <si>
    <t>Contributions au financement, autres</t>
  </si>
  <si>
    <t>Durée de retour sur investissement du programme</t>
  </si>
  <si>
    <t>Efficacité du programme</t>
  </si>
  <si>
    <t>kWh/an</t>
  </si>
  <si>
    <t>Indications et explications</t>
  </si>
  <si>
    <t>Consommation moyenne d'électricité sans programme par an</t>
  </si>
  <si>
    <t>Tarif moyen pour le calcul de l'évolution de référence</t>
  </si>
  <si>
    <t>Durée d'utilisation des applications qui seront concernées par les mesures</t>
  </si>
  <si>
    <t>Consommation moyenne d'électricité avec le programme par an</t>
  </si>
  <si>
    <t>Consommation d'électricité avec le programme sur toute la durée d'utilisation en kWh et en CHF</t>
  </si>
  <si>
    <t>Économies moyennes d'électricité par an</t>
  </si>
  <si>
    <t>Coût total du programme</t>
  </si>
  <si>
    <t>Contributions « à fonds perdu » de la Confédération, du canton et d'autres organismes publics</t>
  </si>
  <si>
    <t>Organisation 1 (principal partenaire)</t>
  </si>
  <si>
    <t>Acronyme du programme</t>
  </si>
  <si>
    <t>Description du programme</t>
  </si>
  <si>
    <t>Nom du programme</t>
  </si>
  <si>
    <t>Orientation (couverture) géographique des mesures</t>
  </si>
  <si>
    <t>Précisions sur l'orientation géographique</t>
  </si>
  <si>
    <t>Quelle est la durée du programme (en mois) ?</t>
  </si>
  <si>
    <t>Indications sur la réalisation</t>
  </si>
  <si>
    <t>Date de réalisation du programme</t>
  </si>
  <si>
    <t>Remarques concernant le calendrier de réalisation</t>
  </si>
  <si>
    <t>Début [mois, année]</t>
  </si>
  <si>
    <t>Fin [mois, année]</t>
  </si>
  <si>
    <t>Titre du programme</t>
  </si>
  <si>
    <t>Couverture géographique du programme</t>
  </si>
  <si>
    <t>Nom de l'organisation</t>
  </si>
  <si>
    <t>Forme juridique</t>
  </si>
  <si>
    <t>Précisions sur la forme juridique</t>
  </si>
  <si>
    <t>NPA</t>
  </si>
  <si>
    <t>Site Internet</t>
  </si>
  <si>
    <t>Brève description des activités de l'organisme porteur du programme</t>
  </si>
  <si>
    <t>Personne de contact pour les appels d'offres publics</t>
  </si>
  <si>
    <t>Nom</t>
  </si>
  <si>
    <t>Fonction</t>
  </si>
  <si>
    <t>Téléphone</t>
  </si>
  <si>
    <t>Autres organisations porteuses du programme</t>
  </si>
  <si>
    <t>Prénom</t>
  </si>
  <si>
    <t>Téléphone mobile</t>
  </si>
  <si>
    <t>Lieu</t>
  </si>
  <si>
    <t>Explications ou précisions sur la forme juridique lorsque celle-ci est une personne privée, une collectivité de droit public ou autre</t>
  </si>
  <si>
    <t>Rue ; adresse</t>
  </si>
  <si>
    <t>NPA et lieu</t>
  </si>
  <si>
    <t>Description de l'activité, du nombre d'employés et de l'expérience</t>
  </si>
  <si>
    <t>Nom de l'organisation de la personne de contact</t>
  </si>
  <si>
    <t>Indiquer les numéros de téléphone sous la forme « 044 245 65 43 »</t>
  </si>
  <si>
    <t>Nom de l'organisation 2 de l'organisme porteur</t>
  </si>
  <si>
    <t>Nom de l'organisation 3 de l'organisme porteur</t>
  </si>
  <si>
    <t>Nom de l'organisation 4 de l'organisme porteur</t>
  </si>
  <si>
    <t>Structure de l'organisation</t>
  </si>
  <si>
    <t>Rôle et fonction dans le programme</t>
  </si>
  <si>
    <t>Description du rôle et de la fonction de l'organisation dans le programme</t>
  </si>
  <si>
    <t>Comment sont structurées l'organisation et la collaboration entre les organisations impliquées ?</t>
  </si>
  <si>
    <t>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t>
  </si>
  <si>
    <t>Compétence pour cette tâche</t>
  </si>
  <si>
    <t>Description de la compétence disponible pour cette tâche</t>
  </si>
  <si>
    <t>Références</t>
  </si>
  <si>
    <t>Indication de projets de référence comparables</t>
  </si>
  <si>
    <t>Ressources en personnel</t>
  </si>
  <si>
    <t>Joindre le CV des personnes clés en annexe</t>
  </si>
  <si>
    <t>Personne 1 (chef de projet et personne de contact)</t>
  </si>
  <si>
    <t>Personne 2</t>
  </si>
  <si>
    <t>Personne 3</t>
  </si>
  <si>
    <t>Personne 4</t>
  </si>
  <si>
    <t>Rôle</t>
  </si>
  <si>
    <t>Fonction dans l'entreprise</t>
  </si>
  <si>
    <t>Rôle dans le projet</t>
  </si>
  <si>
    <t>Sur quelle application souhaite-t-on agir ?</t>
  </si>
  <si>
    <t>Quels sont les acteurs importants du marché ?</t>
  </si>
  <si>
    <t>Potentiels de gain d'efficacité ou d'économie (qualitatifs)</t>
  </si>
  <si>
    <t>Quels sont les potentiels de gain d'efficacité ou d'économie existants à l'heure actuelle et quelles mesures doivent permettre d'exploiter ces potentiels ?</t>
  </si>
  <si>
    <t>Entraves</t>
  </si>
  <si>
    <t>Pour quelles raisons les potentiels d'économie n'ont-ils pas été exploités jusqu'ici ? (entraves)</t>
  </si>
  <si>
    <t>Quelle est l’importance de ces diverses entraves ?</t>
  </si>
  <si>
    <t>Description de la situation initiale et de l'application sur laquelle le programme doit agir.</t>
  </si>
  <si>
    <t>Description des acteurs importants du marché (utilisateurs finaux, agents du marché, producteurs) et de leur rôle.</t>
  </si>
  <si>
    <t>Description des potentiels d'économie par rapport à la situation actuelle.
Description des mesures individuelles visant à exploiter ces potentiels.</t>
  </si>
  <si>
    <t>Description des raisons et des entraves empêchant l'exploitation des potentiels d'économie à ce jour.</t>
  </si>
  <si>
    <t>Explication de l'importance des différentes entraves (pondération)</t>
  </si>
  <si>
    <t>Prestations contenues dans les mesures (Partie 1)</t>
  </si>
  <si>
    <t>Détails</t>
  </si>
  <si>
    <t>Titre de la mesure</t>
  </si>
  <si>
    <t>Quelles mesures le programme contient-il et quels sont leurs objectifs ?</t>
  </si>
  <si>
    <t>À qui s’adressent les prestations (groupes cibles) ?</t>
  </si>
  <si>
    <t>Qui met en œuvre les économies d'électricité (intermédiaire) ?</t>
  </si>
  <si>
    <t>Quelles prestations ou quels produits le programme propose-t-il (type, ampleur et qualité des prestations) ?</t>
  </si>
  <si>
    <t>Mesure et objectif</t>
  </si>
  <si>
    <t>Groupe cible</t>
  </si>
  <si>
    <t>Prestations (description et quantification)</t>
  </si>
  <si>
    <t>Complément des mesures existantes de la Confédération / du canton</t>
  </si>
  <si>
    <t>Taux de pénétration</t>
  </si>
  <si>
    <t>Quelles entraves veut-on supprimer ?</t>
  </si>
  <si>
    <t>Changements de comportement</t>
  </si>
  <si>
    <t>Interaction des diverses mesures</t>
  </si>
  <si>
    <t>Combien de personnes ou d’organisations veut-on atteindre par les prestations en question (taux de pénétration des groupes cibles) ?</t>
  </si>
  <si>
    <t>Quelles entraves veut-on supprimer ou réduire grâce aux prestations ?</t>
  </si>
  <si>
    <t>Quels changements de comportement les prestations doivent-elles induire parmi les groupes cibles (comportement d’investissement, comportement d’utilisation ou d'utilisateur, autre) ?</t>
  </si>
  <si>
    <t>Comment les diverses prestations ou mesures se complètent-elles ?</t>
  </si>
  <si>
    <t>Prestations contenues dans les mesures (Partie 2)</t>
  </si>
  <si>
    <t>Avis</t>
  </si>
  <si>
    <t>Calcul de la réduction de la consommation d'électricité</t>
  </si>
  <si>
    <t>Chiffres-clés de l'analyse des effets</t>
  </si>
  <si>
    <t>Ø Évolution en kWh</t>
  </si>
  <si>
    <t>Ø Évolution en CHF</t>
  </si>
  <si>
    <t>Unité</t>
  </si>
  <si>
    <t>Ø Consommation/an</t>
  </si>
  <si>
    <t>Consommation totale</t>
  </si>
  <si>
    <t>Nombre d'unités</t>
  </si>
  <si>
    <t>Ø Consommation par an</t>
  </si>
  <si>
    <t>Ø Prestation</t>
  </si>
  <si>
    <t>Potentiel d'économie total</t>
  </si>
  <si>
    <t>Total des économies</t>
  </si>
  <si>
    <t>Année 1</t>
  </si>
  <si>
    <t>Année 2</t>
  </si>
  <si>
    <t>Année 3</t>
  </si>
  <si>
    <t>Contributions variables Année 1</t>
  </si>
  <si>
    <t>Contributions variables Année 2</t>
  </si>
  <si>
    <t>Contributions variables Année 3</t>
  </si>
  <si>
    <t>Total des contributions variables au programme</t>
  </si>
  <si>
    <t xml:space="preserve">Contributions variables au programme / à l'application </t>
  </si>
  <si>
    <t>Contribution financière / application</t>
  </si>
  <si>
    <t>pièce</t>
  </si>
  <si>
    <t>Kosten</t>
  </si>
  <si>
    <t>L'explication quantitative de l'évolution de référence, du potentiel d'économie et des contributions mises à disposition dans le cadre des appels d'offres publics s'effectue ici.</t>
  </si>
  <si>
    <t>Indication du tarif moyen de l'électricité utilisé pour le calcul des coûts énergétiques.</t>
  </si>
  <si>
    <t>Inscription de la durée d'utilisation moyenne de l'application concernée</t>
  </si>
  <si>
    <t>Indication de l'évolution de la consommation sans programme par an et sur toute la durée d'utilisation de l'application</t>
  </si>
  <si>
    <t>Indication de l'évolution de la consommation avec le programme par an et sur toute la durée d'utilisation de l'application</t>
  </si>
  <si>
    <t>Nombre d'applications mises en œuvre prévues au cours de la première année du programme</t>
  </si>
  <si>
    <t>Nombre d'applications mises en œuvre prévues au cours de la deuxième année du programme</t>
  </si>
  <si>
    <t>Nombre d'applications mises en œuvre prévues au cours de la troisième année du programme</t>
  </si>
  <si>
    <t>Nombre d'applications mises en œuvre au cours de la première année du programme</t>
  </si>
  <si>
    <t>Nombre d'applications mises en œuvre au cours de la deuxième année du programme</t>
  </si>
  <si>
    <t>Nombre d'applications mises en œuvre au cours de la troisième année du programme</t>
  </si>
  <si>
    <t>Total des contributions variables du programme aux applications mises en œuvre</t>
  </si>
  <si>
    <t>Mise en œuvre du programme (résumé)</t>
  </si>
  <si>
    <t>Concept de communication (résumé)</t>
  </si>
  <si>
    <t>Monitorage</t>
  </si>
  <si>
    <t>Comment la mise en œuvre du programme est-elle organisée ?</t>
  </si>
  <si>
    <t>Quelles mesures a-t-on prévues pour faire connaître le programme ou pour atteindre le public cible ?</t>
  </si>
  <si>
    <t>Comment est-il prévu de saisir les mesures réalisées par le client final et de calculer la consommation d'électricité correspondante ?</t>
  </si>
  <si>
    <t>Comment est-il prévu de contrôler l'évolution de référence en fonction des économies réalisées et au besoin de l'adapter ?</t>
  </si>
  <si>
    <t>Annexe comprenant les détails de la mise en œuvre du programme avec description des structures, processus, instruments et outils, ainsi qu'un calendrier du projet</t>
  </si>
  <si>
    <t>Description de la mise en œuvre du programme et de la communication</t>
  </si>
  <si>
    <t>Gestion du programme</t>
  </si>
  <si>
    <t>Mesures</t>
  </si>
  <si>
    <t>Coûts totaux</t>
  </si>
  <si>
    <t>Coûts relatifs aux mesures de marketing et de communication conformément au concept de communication</t>
  </si>
  <si>
    <t>Contributions variables à des applications mises en œuvre dans le cadre du programme</t>
  </si>
  <si>
    <t>Coûts totaux du programme</t>
  </si>
  <si>
    <t>Prestations propres</t>
  </si>
  <si>
    <t>Total du financement</t>
  </si>
  <si>
    <t>Plan de paiement des contributions des appels d'offres publics</t>
  </si>
  <si>
    <t>Comment le plan de paiement du programme se présente-t-il ?</t>
  </si>
  <si>
    <t>Description du financement et des partenaires impliqués dans le financement</t>
  </si>
  <si>
    <t>Comment les moyens mis à disposition dans le cadre des appels d'offres publics sont-ils utilisés ?</t>
  </si>
  <si>
    <t>Report des coûts de 6.2</t>
  </si>
  <si>
    <t>Prestations propres assurées par l'organisme porteur (p.ex. personnel, infrastructure etc.)</t>
  </si>
  <si>
    <t>Avant la mise en œuvre du programme</t>
  </si>
  <si>
    <t>Mise en œuvre du programme</t>
  </si>
  <si>
    <t>Les risques de mise en œuvre doivent être aussi réduits que possible. Ils entrent en jeu dans l'évaluation du programme avec une pondération de 0,15.</t>
  </si>
  <si>
    <t>Description des risques ou incertitudes d'ordre technologique lors de la mise en œuvre des mesures d'efficacité.</t>
  </si>
  <si>
    <t>Description des incertitudes inhérentes à l’estimation des effets du programme (ou insuffisance de l’évidence empirique).</t>
  </si>
  <si>
    <t>Incertitudes relatives aux conditions-cadres qui pourraient représenter une entrave à la réalisation des objectifs</t>
  </si>
  <si>
    <t>Ressources en personnel et connaissances techniques insuffisantes</t>
  </si>
  <si>
    <t>Incertitudes liées à la motivation et à la modification comportementale des groupes cibles ayant une incidence sur les économies d'électricité.</t>
  </si>
  <si>
    <t>Incertitudes techniques d’exploitation (́pannes, mauvaise efficacité)</t>
  </si>
  <si>
    <t>Effet de renforcement</t>
  </si>
  <si>
    <t>Dynamique autonome</t>
  </si>
  <si>
    <t>Effet d'innovation</t>
  </si>
  <si>
    <t>Effet d'incitation</t>
  </si>
  <si>
    <t>Pas de mise en œuvre sans le programme</t>
  </si>
  <si>
    <t>Additionnalité du programme</t>
  </si>
  <si>
    <t>Additionnalité des mesures d'efficacité</t>
  </si>
  <si>
    <t>Fourniture de la preuve que le programme ne pourrait pas se réaliser ou pas dans la même mesure sans l'adjudication des appels d'offres publics.</t>
  </si>
  <si>
    <t>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t>
  </si>
  <si>
    <t>Explication des rapports entre les entraves existantes et les mesures proposées dans le programme. Les entraves pertinentes seront décrites et justifiées. Il s'agit en outre d'expliquer quelles parties des groupes cibles sont concernées par les entraves.</t>
  </si>
  <si>
    <t>Acceptation</t>
  </si>
  <si>
    <t>Les indications sont exactes, complètes et vérifiables</t>
  </si>
  <si>
    <t>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t>
  </si>
  <si>
    <t>Signature</t>
  </si>
  <si>
    <t>Lieu, date</t>
  </si>
  <si>
    <t>Signature(s) authentique(s) du requérant</t>
  </si>
  <si>
    <t>Annexes</t>
  </si>
  <si>
    <t>Annexe 1</t>
  </si>
  <si>
    <t>Annexe 2</t>
  </si>
  <si>
    <t>Annexe 3</t>
  </si>
  <si>
    <t>Annexe 4</t>
  </si>
  <si>
    <t>Annexe 5</t>
  </si>
  <si>
    <t>Annexe 6</t>
  </si>
  <si>
    <t>Annexe 7</t>
  </si>
  <si>
    <t>Annexe 8</t>
  </si>
  <si>
    <t>Annexe 9</t>
  </si>
  <si>
    <t>Annexe 10</t>
  </si>
  <si>
    <t>Titre de l'annexe</t>
  </si>
  <si>
    <t>Brève description du contenu de l'annexe</t>
  </si>
  <si>
    <t>Remarques concernant la demande</t>
  </si>
  <si>
    <t>Suggestions concernant les documents de l'appel d'offres</t>
  </si>
  <si>
    <t>Zusammenfassung Wirkungsabschätzung</t>
  </si>
  <si>
    <t>Kurze Zusammenfassung und Verweis auf Beilage: Kommunikationskonzept mit allen geplanten Marketing- und Kommunikationsmassnahmen</t>
  </si>
  <si>
    <t>Aufzeigen, wie und mit welchen Hilfsmitteln in einem ersten Schritt die Programmaktivitäten, die erreichten Endkunden und die von den Endkunden ergriffenen Effizienzmassnahmen erfasst und der entsprechende Stromverbrauch berechnet wird. (Allenfalls Vermerk auf Beilage)</t>
  </si>
  <si>
    <t>Wirkungsabschätzung (quantitativ)</t>
  </si>
  <si>
    <t>Kennzahlen Wirkungsabschätzung</t>
  </si>
  <si>
    <t>Angabe des variablen Beitrags des Programms pro Anwendung (Hauptmassnahme)</t>
  </si>
  <si>
    <t>Fixe Kosten</t>
  </si>
  <si>
    <t>allfällige andere flankierende Massnahmen zum Abbau von Hemmnissen</t>
  </si>
  <si>
    <t>Total fixe Kosten</t>
  </si>
  <si>
    <t>Contributions variables du programme (8.2)</t>
  </si>
  <si>
    <t>Variable Beiträge Programm (8.2)</t>
  </si>
  <si>
    <t>Kosten (8.4)</t>
  </si>
  <si>
    <t>Coûts (8.4)</t>
  </si>
  <si>
    <t>Fragen zur Finanzierung</t>
  </si>
  <si>
    <t>Titel der Massnahme: Festlegen kurzer Titel für Massnahme
Die Hauptmassnahme umfasst die Leistungen mit einem finanziellem Beitrag pro Anwendnung</t>
  </si>
  <si>
    <t>Titel der Massnahme: Festlegen kurzer Titel für Massnahme
Die flankierende(n) Massnahme(m) umfassen Leistungen zum Abbau von anderen als finanziellen Hemmnissen</t>
  </si>
  <si>
    <t>Indication de la contribution variable du programme par application (prestation principale)</t>
  </si>
  <si>
    <t>Court résumé et renvoi à l'annexe:
Annexe : Concept de communication comprenant toutes les mesures de communication et de marketing prévues</t>
  </si>
  <si>
    <t>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t>
  </si>
  <si>
    <t>Autres prestations complémentaires éventuelles visant à éliminer des entraves</t>
  </si>
  <si>
    <t>Coûts fixes</t>
  </si>
  <si>
    <t>Questions concernant le financement</t>
  </si>
  <si>
    <t>Wenn Ja, wie?
Wenn Nein, wie?</t>
  </si>
  <si>
    <t>Wenn Ja, gibt es eine vorliegende Zusage?
Wenn Nein, bis wann ist diese zu erwarten und von was hängt die Zusage ab?</t>
  </si>
  <si>
    <t>Gibt es neben den "Wettbewerblichen Ausschreibungen" andere "a fonds perdu" Beiträge von anderen Organisationen (Bund, Kanton oder andere private Organisationen)?</t>
  </si>
  <si>
    <t>Wenn Ja, sind sie von der öffentlichen Hand ?</t>
  </si>
  <si>
    <t>Wenn Ja, sind sie von privaten Organisationen?</t>
  </si>
  <si>
    <t>Comment le programme est-il financé?</t>
  </si>
  <si>
    <t>Quelle part doit être financée dans le cadre de l’appel d’offres public?</t>
  </si>
  <si>
    <t>D'autres organisations financent-elles une partie des coûts?</t>
  </si>
  <si>
    <t>Le financement de ces autres contributions est-il assuré?</t>
  </si>
  <si>
    <t>Si oui, comment?
Si non, comment?</t>
  </si>
  <si>
    <t xml:space="preserve">Subsiste-t-il des questions concernant les technologies utilisées pour les mesures d'efficacité? </t>
  </si>
  <si>
    <t>Existe-t-il des incertitudes inhérentes à l’estimation des effets du programme?</t>
  </si>
  <si>
    <t>Quels sont les risques en matière de garantie de financement?</t>
  </si>
  <si>
    <t>Quelles conditions-cadres peuvent influencer les économies d’électricité attendues?</t>
  </si>
  <si>
    <t>Les ressources en personnel et les connaissances techniques requises sont-elles disponibles?</t>
  </si>
  <si>
    <t>Existe-t-il des incertitudes quant à l'atteinte des objectifs?</t>
  </si>
  <si>
    <t>Existe-t-il des incertitudes techniques d'exploitation?</t>
  </si>
  <si>
    <t>Existe-t-il des risques en ce qui concerne le financement? Si oui, veuillez décrire les mesures prises pour les contrecarrer.</t>
  </si>
  <si>
    <t>Existe-t-il un effet de renforcement et si oui, quel est-il?</t>
  </si>
  <si>
    <t>Comment l'effet de dynamique autonome est-il atteint?</t>
  </si>
  <si>
    <t>Existe-t-il un effet d'innovation et si oui, quel est-il?</t>
  </si>
  <si>
    <t>Quel effet d'incitation peut-on attendre du programme?</t>
  </si>
  <si>
    <t>Description de l'effet de renforcement des différentes mesures. 
Quelles mesures existantes ou prévues le programme soutient-il?</t>
  </si>
  <si>
    <t>Description de l'effet de dynamique autonome des différentes mesures. 
Le programme a-t-il le potentiel de continuer à être réalisé à l'avenir sans le soutien des appels d'offres publics?</t>
  </si>
  <si>
    <t xml:space="preserve">Description de l'effet d'innovation des différentes mesures.
Le programme contribue-t-il à la maturation commerciale rapide de nouvelles technologies ou à la diffusion de technologies et de mesures d’efficacité novatrices? </t>
  </si>
  <si>
    <t>Description de l'effet d'incitation des différentes mesures. 
Le programme est-il à même d’ancrer le thème de la consommation électrique efficace parmi les acteurs concernés?</t>
  </si>
  <si>
    <t>Pourquoi le programme ou les mesures ne sont-ils pas mis en œuvre en l'absence d'adjudication?</t>
  </si>
  <si>
    <t>Quel est l'effet de la contribution financière sur le programme et comment éviter un éventuel effet d’éviction sur les moyens alloués aux programmes existants?</t>
  </si>
  <si>
    <t>Existe-t-il un rapport entre les entraves et les prestations offertes par le programme?</t>
  </si>
  <si>
    <t>Welche Anteile werden von anderen Organisationen gedeckt?</t>
  </si>
  <si>
    <t xml:space="preserve">Quelles sont les parts financées par d’autres organisations? </t>
  </si>
  <si>
    <t>Contribut. de soutien d'organismes publics</t>
  </si>
  <si>
    <t>Definiton der Anteile welche von anderen Organisationen gedeckt werden</t>
  </si>
  <si>
    <t>Definition der Anteile, welche durch andere Organisationen finanziert werden.</t>
  </si>
  <si>
    <t>Angabe der Herkunft der anderen Beiträge (öffentliche Hand und/oder private Organisationen)</t>
  </si>
  <si>
    <t>Déclaration de l'origine des financements assurées par d'autres organisations (fonds publics et/ou fonds privés)</t>
  </si>
  <si>
    <t>Existe-t-il à part des «appels d'offre public», d'autres contributions « à fonds perdu » d'autres organisations (Confédération, canton ou autres organisations privées)?</t>
  </si>
  <si>
    <t>Définition des parts de financement assurées par d'autres organisations</t>
  </si>
  <si>
    <t xml:space="preserve">Définition des parts financées par d’autres organisations </t>
  </si>
  <si>
    <t>Preuves conformité aux exigences supplémentaires</t>
  </si>
  <si>
    <t>Alle Felder, bei welchen der Anfang der Zeile orange hinterlegt ist, sind Pflichtfelder und müssen ausgefüllt werden. Es gibt auch dynamische Pflichtfelder, welche von Antworten im Formular abhängen</t>
  </si>
  <si>
    <t>Tous les champs dont le début de la ligne est sur fond orange sont des champs obligatoires et doivent être remplis. Il y a aussi des champs obligatoires dynamiques qui dépendent des réponses données dans le formulaire.</t>
  </si>
  <si>
    <t>Ces pages ne doivent pas être remplies. Les informations sont reprises automatiquement à partir d'autres feuilles de calcul.</t>
  </si>
  <si>
    <t>Partenaire principal</t>
  </si>
  <si>
    <t>Titre de la mesure: Définir un court titre de l'activité.
La prestation principale contient toutes les actions liées à des contributions financières directes par application</t>
  </si>
  <si>
    <t>Titre de la mesure: Définir un court titre de l'activité.
La (les prestation(s) complémentaire(s) contien(nen)t toutes les actions liées à la réduction des entraves autres que financières</t>
  </si>
  <si>
    <t>S’agit-il d’un complément à des mesures actuelles de la Confédération ou du Canton ? (Oui/Non) Si oui, en quoi ce complément consiste-t-il ?</t>
  </si>
  <si>
    <t>Description des mesures en indiquant les objectifs, prestations et groupes cibles (s'il s'agit de plus de trois mesures, veuillez regrouper les mesures).</t>
  </si>
  <si>
    <t>Analyse (quantitative) des effets</t>
  </si>
  <si>
    <t>Pour saisir les descriptions détaillées des autres partenaires porteurs du programme, veuillez utiliser les formulaires P1-P3. Cliquez sur le lien Partenaire x.</t>
  </si>
  <si>
    <t>Si oui, sont-elles des contributions privées?</t>
  </si>
  <si>
    <t>Si oui, sont-elles des contributions publics?</t>
  </si>
  <si>
    <t>Les exigences supplémentaires ne doivent pas être nécessairement remplies, mais il en sera tenu compte avec une pondération de 0,1 lors de l’évaluation du programme.</t>
  </si>
  <si>
    <t>Programmdauer</t>
  </si>
  <si>
    <t>Monat(e)</t>
  </si>
  <si>
    <t>mois</t>
  </si>
  <si>
    <t>Kurzbezeichnung (Abkürzung) Programm (maximal 15 Zeichen)</t>
  </si>
  <si>
    <t>Welche Investitionen löst das Programm aus?</t>
  </si>
  <si>
    <t>Abschätzung der durch das Programm ausgelösten Gesamtinvestitionen</t>
  </si>
  <si>
    <t>Hintergrund Budget / Finanzierung</t>
  </si>
  <si>
    <t>Budget / Finanzierung (Quantifizierung)</t>
  </si>
  <si>
    <t>Welches maximale finanzielle Risiko ensteht für ProKilowatt bei einem Misserfolg des Programms?</t>
  </si>
  <si>
    <t>Ø Einsparung/Jahr</t>
  </si>
  <si>
    <t>Verteilung der Einsparungen über die Programmdauer</t>
  </si>
  <si>
    <t>Jahr</t>
  </si>
  <si>
    <t>Année</t>
  </si>
  <si>
    <t>Kostenträger</t>
  </si>
  <si>
    <t>Total</t>
  </si>
  <si>
    <t>Umsetzungsabhängige Kosten</t>
  </si>
  <si>
    <t>FK</t>
  </si>
  <si>
    <t>Budget (Quantifizierung)</t>
  </si>
  <si>
    <t>Finanzierung (Quantifizierung)</t>
  </si>
  <si>
    <t>Anleitung Budget (Kosten)</t>
  </si>
  <si>
    <t>Anleitung Finanzierung</t>
  </si>
  <si>
    <t>Bemerkungen Budget (Kosten)</t>
  </si>
  <si>
    <t>Bemerkungen Finanzierung</t>
  </si>
  <si>
    <t>Maximales finanzielles Risko (nicht umsetzungsorientierte Kosten) bei einem Misserfolg des Programms</t>
  </si>
  <si>
    <t>test langue</t>
  </si>
  <si>
    <t>f;e;d;i    autre = pas de texte; vide = choix sur Menu</t>
  </si>
  <si>
    <t>Hemmnisse</t>
  </si>
  <si>
    <t>Additionalität</t>
  </si>
  <si>
    <t>Nr</t>
  </si>
  <si>
    <t>Rubrik</t>
  </si>
  <si>
    <t>Status</t>
  </si>
  <si>
    <t>Rechtsform</t>
  </si>
  <si>
    <t>andere</t>
  </si>
  <si>
    <t>AG</t>
  </si>
  <si>
    <t>GmbH</t>
  </si>
  <si>
    <t>Einzelfirma</t>
  </si>
  <si>
    <t>Adresse</t>
  </si>
  <si>
    <t>PLZ</t>
  </si>
  <si>
    <t>Ort</t>
  </si>
  <si>
    <t>Name</t>
  </si>
  <si>
    <t>Vorname</t>
  </si>
  <si>
    <t>Funktion</t>
  </si>
  <si>
    <t>Telefon</t>
  </si>
  <si>
    <t>Ja</t>
  </si>
  <si>
    <t>Nein</t>
  </si>
  <si>
    <t>Ausgangslage</t>
  </si>
  <si>
    <t>AG Aargau</t>
  </si>
  <si>
    <t>BS Basel Stadt</t>
  </si>
  <si>
    <t>BL Basel Land</t>
  </si>
  <si>
    <t>GL Glarus</t>
  </si>
  <si>
    <t>ZG Zug</t>
  </si>
  <si>
    <t>VS Wallis</t>
  </si>
  <si>
    <t>VD Waadt</t>
  </si>
  <si>
    <t>GE Genf</t>
  </si>
  <si>
    <t>FR Freiburg</t>
  </si>
  <si>
    <t>NE Neuenburg</t>
  </si>
  <si>
    <t>BE Bern</t>
  </si>
  <si>
    <t>SZ Schwyz</t>
  </si>
  <si>
    <t>SG St. Gallen</t>
  </si>
  <si>
    <t>GR Graubünden</t>
  </si>
  <si>
    <t>LU Luzern</t>
  </si>
  <si>
    <t>SO Solothurn</t>
  </si>
  <si>
    <t>TI Tessin</t>
  </si>
  <si>
    <t>JU Jura</t>
  </si>
  <si>
    <t>ZH Zürich</t>
  </si>
  <si>
    <t>NW Nidwalden</t>
  </si>
  <si>
    <t>OW Obwalden</t>
  </si>
  <si>
    <t>UR Uri</t>
  </si>
  <si>
    <t>AR Appenzell Ausserhoden</t>
  </si>
  <si>
    <t>AI Appenzell Innerhoden</t>
  </si>
  <si>
    <t>Jahr 1</t>
  </si>
  <si>
    <t>Jahr 2</t>
  </si>
  <si>
    <t>Jahr 3</t>
  </si>
  <si>
    <t>Einheit</t>
  </si>
  <si>
    <t>kWh</t>
  </si>
  <si>
    <t>CHF</t>
  </si>
  <si>
    <t>PLZ und Ort</t>
  </si>
  <si>
    <t>Beilagenverzeichnis</t>
  </si>
  <si>
    <t>Angaben Realisierung</t>
  </si>
  <si>
    <t>Bemerkungen zum Realisierungsplan</t>
  </si>
  <si>
    <t>Monitoring</t>
  </si>
  <si>
    <t>Finanzierung</t>
  </si>
  <si>
    <t>Anleitung und Erläuterungen</t>
  </si>
  <si>
    <t>öffentlich. rechtl. Körperschaft</t>
  </si>
  <si>
    <t>Privatperson</t>
  </si>
  <si>
    <t>Kurzanleitung Vorgehen</t>
  </si>
  <si>
    <t>EnAW</t>
  </si>
  <si>
    <t>keine</t>
  </si>
  <si>
    <t>Erläuterung Rechtsform</t>
  </si>
  <si>
    <t>kant. Vereinbarung</t>
  </si>
  <si>
    <t>Kurzanleitung (Antragsformular)</t>
  </si>
  <si>
    <t>ProKilowatt</t>
  </si>
  <si>
    <t>Ausschreibungen im Stromeffizienzbereich</t>
  </si>
  <si>
    <t>00</t>
  </si>
  <si>
    <t>Titelblatt</t>
  </si>
  <si>
    <t>Langue en cours :</t>
  </si>
  <si>
    <t>choix : e, f, d, i ou autre = vide</t>
  </si>
  <si>
    <t>Langue en cours</t>
  </si>
  <si>
    <t>Sheet</t>
  </si>
  <si>
    <t>English ( E )</t>
  </si>
  <si>
    <t>Français (F)</t>
  </si>
  <si>
    <t>Deutsch (D)</t>
  </si>
  <si>
    <t>Italiano (I)</t>
  </si>
  <si>
    <t>Company</t>
  </si>
  <si>
    <t>Unternehmung</t>
  </si>
  <si>
    <t>Structure du modèle</t>
  </si>
  <si>
    <t>CHF/kWh</t>
  </si>
  <si>
    <t>Bundesamt für Energie BFE</t>
  </si>
  <si>
    <t>Entreprise</t>
  </si>
  <si>
    <t>Menu</t>
  </si>
  <si>
    <t>Akzeptanz und Unterschriften</t>
  </si>
  <si>
    <t>C3</t>
  </si>
  <si>
    <t>D4</t>
  </si>
  <si>
    <t>D5</t>
  </si>
  <si>
    <t>D6</t>
  </si>
  <si>
    <t>B7</t>
  </si>
  <si>
    <t>C9</t>
  </si>
  <si>
    <t>E9</t>
  </si>
  <si>
    <t>C10</t>
  </si>
  <si>
    <t>C11</t>
  </si>
  <si>
    <t>C12</t>
  </si>
  <si>
    <t>C13</t>
  </si>
  <si>
    <t>C14</t>
  </si>
  <si>
    <t>C15</t>
  </si>
  <si>
    <t>C16</t>
  </si>
  <si>
    <t>C17</t>
  </si>
  <si>
    <t>C18</t>
  </si>
  <si>
    <t>C19</t>
  </si>
  <si>
    <t>C20</t>
  </si>
  <si>
    <t>C21</t>
  </si>
  <si>
    <t>B23</t>
  </si>
  <si>
    <t>Hellblau hinterlegte Felder beinhalten Ergebnisse von Berechnungen und können nicht beeinflusst werden. Die Formeln sind sichtbar, damit die Berechnungen nachvollzogen werden können.</t>
  </si>
  <si>
    <t>H7</t>
  </si>
  <si>
    <t>H25</t>
  </si>
  <si>
    <t>H27</t>
  </si>
  <si>
    <t>H28</t>
  </si>
  <si>
    <t>H30</t>
  </si>
  <si>
    <t>H32</t>
  </si>
  <si>
    <t>D50</t>
  </si>
  <si>
    <t>Im Auftrag des Bundesamtes für Energie BFE</t>
  </si>
  <si>
    <t>Menu Bemerkungen</t>
  </si>
  <si>
    <t>Nomenklatur</t>
  </si>
  <si>
    <t>A2</t>
  </si>
  <si>
    <t>A3</t>
  </si>
  <si>
    <t>A4</t>
  </si>
  <si>
    <t>A5</t>
  </si>
  <si>
    <t>A6</t>
  </si>
  <si>
    <t>A7</t>
  </si>
  <si>
    <t>A10</t>
  </si>
  <si>
    <t>A11</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</si>
  <si>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</si>
  <si>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</si>
  <si>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</si>
  <si>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</si>
  <si>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</si>
  <si>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</si>
  <si>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</si>
  <si>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</si>
  <si>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</si>
  <si>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</si>
  <si>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</si>
  <si>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</si>
  <si>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</si>
  <si>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</si>
  <si>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</si>
  <si>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</si>
  <si>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</si>
  <si>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</si>
  <si>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</si>
  <si>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</si>
  <si>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</si>
  <si>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</si>
  <si>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</si>
  <si>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</si>
  <si>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</si>
  <si>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</si>
  <si>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A42</t>
  </si>
  <si>
    <t>A43</t>
  </si>
  <si>
    <t>A44</t>
  </si>
  <si>
    <t>B19</t>
  </si>
  <si>
    <t>B21</t>
  </si>
  <si>
    <t>B22</t>
  </si>
  <si>
    <t>B25</t>
  </si>
  <si>
    <t>B6</t>
  </si>
  <si>
    <t>B8</t>
  </si>
  <si>
    <t>B9</t>
  </si>
  <si>
    <t>B10</t>
  </si>
  <si>
    <t>B11</t>
  </si>
  <si>
    <t>D11</t>
  </si>
  <si>
    <t>B12</t>
  </si>
  <si>
    <t>B14</t>
  </si>
  <si>
    <t>B15</t>
  </si>
  <si>
    <t>D15</t>
  </si>
  <si>
    <t>B16</t>
  </si>
  <si>
    <t>B17</t>
  </si>
  <si>
    <t>D17</t>
  </si>
  <si>
    <t>B18</t>
  </si>
  <si>
    <t>B20</t>
  </si>
  <si>
    <t>B24</t>
  </si>
  <si>
    <t>B13</t>
  </si>
  <si>
    <t>G8</t>
  </si>
  <si>
    <t>G9</t>
  </si>
  <si>
    <t>G10</t>
  </si>
  <si>
    <t>G11</t>
  </si>
  <si>
    <t>G14</t>
  </si>
  <si>
    <t>G16</t>
  </si>
  <si>
    <t>G15</t>
  </si>
  <si>
    <t>G7</t>
  </si>
  <si>
    <t>C7</t>
  </si>
  <si>
    <t>G1</t>
  </si>
  <si>
    <t>G12</t>
  </si>
  <si>
    <t>G21</t>
  </si>
  <si>
    <t>G25</t>
  </si>
  <si>
    <t>G23</t>
  </si>
  <si>
    <t>G24</t>
  </si>
  <si>
    <t>G19</t>
  </si>
  <si>
    <t>G13</t>
  </si>
  <si>
    <t>D8</t>
  </si>
  <si>
    <t>E8</t>
  </si>
  <si>
    <t>F8</t>
  </si>
  <si>
    <t>H8</t>
  </si>
  <si>
    <t>G2</t>
  </si>
  <si>
    <t>Programmrisiken</t>
  </si>
  <si>
    <t>Nachweis Zusatzanforderungen</t>
  </si>
  <si>
    <t>Geographische Abdeckung des Programmes</t>
  </si>
  <si>
    <t>Abdeckung</t>
  </si>
  <si>
    <t>National</t>
  </si>
  <si>
    <t>Regional</t>
  </si>
  <si>
    <t>Kantonal</t>
  </si>
  <si>
    <t>Lokal</t>
  </si>
  <si>
    <t>Präzisierung geographische Ausrichtung</t>
  </si>
  <si>
    <t>Erläuterung geographische Ausrichtung</t>
  </si>
  <si>
    <t>Programmname</t>
  </si>
  <si>
    <t>Programmbezeichnung</t>
  </si>
  <si>
    <t>Rolle und Funktion im Programm</t>
  </si>
  <si>
    <t>Beschreibung der Rolle und der Funktion der Organisation im Programm</t>
  </si>
  <si>
    <t>Beschreibung der Tätigkeit, der Anzahl Mitarbeiter und der Erfahrung</t>
  </si>
  <si>
    <t>Kompetenz für diese Aufgabe</t>
  </si>
  <si>
    <t>Beschreibung der vorhandenen Kompetenz für diese Aufgabe</t>
  </si>
  <si>
    <t>Referenzen</t>
  </si>
  <si>
    <t>Angabe von vergleichbaren Referenzprojekten</t>
  </si>
  <si>
    <t>Rolle im Projekt</t>
  </si>
  <si>
    <t>Rolle</t>
  </si>
  <si>
    <t>Person 2</t>
  </si>
  <si>
    <t>Person 3</t>
  </si>
  <si>
    <t>Person 4</t>
  </si>
  <si>
    <t>Welches sind die relevanten Marktakteure?</t>
  </si>
  <si>
    <t>Effizienz- bzw. Sparpotentiale (qualitativ)</t>
  </si>
  <si>
    <t>Kosten Programm</t>
  </si>
  <si>
    <t>Wie wird das Programm finanziert?</t>
  </si>
  <si>
    <t>Total Finanzierung</t>
  </si>
  <si>
    <t>Werden Anteile der Kosten von anderen Organisationen finanziert?</t>
  </si>
  <si>
    <t>Ist die Finanzierung dieser weiteren Beiträge gesichert?</t>
  </si>
  <si>
    <t>Wie sieht der Zahlungsplan für das Programm aus?</t>
  </si>
  <si>
    <t>Kennzahlen Programm</t>
  </si>
  <si>
    <t>Durchschnittlicher Stromverbrauch ohne Programm pro Jahr</t>
  </si>
  <si>
    <t>Durchschnittlicher Tarif für die Kalkulation der Referenzentwicklung</t>
  </si>
  <si>
    <t>Total Kosten des Programms</t>
  </si>
  <si>
    <t>Vor der Programmumsetzung</t>
  </si>
  <si>
    <t>Programmumsetzung</t>
  </si>
  <si>
    <t>Verstärkungseffekt</t>
  </si>
  <si>
    <t>Selbstläufereffekt</t>
  </si>
  <si>
    <t>Innovationseffekt</t>
  </si>
  <si>
    <t>Signalwirkung</t>
  </si>
  <si>
    <t>Keine Umsetzung ohne das Programm</t>
  </si>
  <si>
    <t>Additionalität des Programms</t>
  </si>
  <si>
    <t>Additionalität der Effizienzmassnahmen</t>
  </si>
  <si>
    <t>Der Antragsteller bestätigt mit einem JA und einer rechtsgültigen Unterschrift die Richtigkeit und die Vollständigkeit der gemachten Angaben.
Der Antragsteller gewährt den beauftragten unabhängigen Experten bei Bedarf Einblick in die notwendigen Unterlagen zur Verifizierung der Referenzentwicklung, der Stromeinsparung der Mengenmodelle und der verwendeten Informationen.</t>
  </si>
  <si>
    <t>Zielgruppe</t>
  </si>
  <si>
    <t>Leistungen (Beschreibung &amp; Quantifizierung)</t>
  </si>
  <si>
    <t>Ergänzung zu bestehenden Massnahmen Bund /Kanton</t>
  </si>
  <si>
    <t>Titel Massnahme</t>
  </si>
  <si>
    <t>Zusammenspiel verschiedener Massnahmen</t>
  </si>
  <si>
    <t>Wer setzt die Stromeinsparungen um (Absatzmittler)?</t>
  </si>
  <si>
    <t>Wie viele Personen bzw. Organisationen sollen mit den Leistungen erreicht werden (Zielgruppen-Erreichungsgrad)?</t>
  </si>
  <si>
    <t>Welche Hemmnisse sollen mit den Leistungen abgebaut oder reduziert werden?</t>
  </si>
  <si>
    <t>Wie ergänzen sich die verschiedenen Leistungen bzw. Massnahmen?</t>
  </si>
  <si>
    <t>Verhaltensänderungen</t>
  </si>
  <si>
    <t>Kurzbeschreibung der Tätigkeit der Programmträgerschaft</t>
  </si>
  <si>
    <t>Homepage</t>
  </si>
  <si>
    <t>Kurzbeschrieb Programm</t>
  </si>
  <si>
    <t>Name der Organisation</t>
  </si>
  <si>
    <t>Name der Organisation der Trägerschaft</t>
  </si>
  <si>
    <t>Name der Organisation der Ansprechperson</t>
  </si>
  <si>
    <t>Wie wird die Referenzentwicklung aufgrund der erzielten Einsparungen überprüft und bei Bedarf angepasst?</t>
  </si>
  <si>
    <t>Welche offenen Fragen bestehen bezüglich der eingesetzten Technologien für Effizienzmassnahmen?</t>
  </si>
  <si>
    <t>Welche Unsicherheiten bestehen in der Wirkungsabschätzung des Programmes?</t>
  </si>
  <si>
    <t>Welche Rahmenbedingungen können die erwartete Stromeinsparung beeinflussen?</t>
  </si>
  <si>
    <t>Sind die personellen Ressourcen und das Fachwissens vorhanden?</t>
  </si>
  <si>
    <t>Welche Unsicherheit besteht bei der Erreichung?</t>
  </si>
  <si>
    <t>Welche technisch-betriebliche Unsicherheiten bestehen?</t>
  </si>
  <si>
    <t>Welche Risiken bestehen bei der Sicherstellung der Finanzierung?</t>
  </si>
  <si>
    <t>Wie wird der Selbstläufereffekt erreicht?</t>
  </si>
  <si>
    <t>Warum wird das Programm, bzw. die Massnahmen nicht ohne Zuschlag umgesetzt?</t>
  </si>
  <si>
    <t>Überprüfung Vollständigkeit</t>
  </si>
  <si>
    <t>Anregungen zu den Ausschreibungsunterlagen</t>
  </si>
  <si>
    <t>Bemerkungen zum Antrag</t>
  </si>
  <si>
    <t>Ansprechpartner</t>
  </si>
  <si>
    <t>Programmnummer</t>
  </si>
  <si>
    <t>Geschäftsstelle für Wettbewerbliche</t>
  </si>
  <si>
    <t>Welche Anwendung soll beeinflusst werden?</t>
  </si>
  <si>
    <t>Welcher Zusammenhang besteht zwischen den Hemmnissen und den durch das Programm angebotenen Leistungen?</t>
  </si>
  <si>
    <t>Programmtitel</t>
  </si>
  <si>
    <t>geographische Ausrichtung (Abdeckung) der Massnahmen</t>
  </si>
  <si>
    <t>Beginn [Monat, Jahr]</t>
  </si>
  <si>
    <t>Ende [Monat, Jahr]</t>
  </si>
  <si>
    <t>Durchführungszeitpunkt Programm</t>
  </si>
  <si>
    <t>Bemerkungen zum frühesten Starttermin und zum Realisierungsplan</t>
  </si>
  <si>
    <t>Eingabe der Nummern in der Form "044 245 65 43"</t>
  </si>
  <si>
    <t>Detail</t>
  </si>
  <si>
    <t>Erreichungsgrad</t>
  </si>
  <si>
    <t>Leistungen Massnahmen (Teil 1)</t>
  </si>
  <si>
    <t>Leistungen Massnahmen (Teil 2)</t>
  </si>
  <si>
    <t>Ziele und Massnahmen Teil 1</t>
  </si>
  <si>
    <t>Ziele und Massnahmen Teil 2</t>
  </si>
  <si>
    <t>Ø Nutzungsdauer</t>
  </si>
  <si>
    <t>Stk.</t>
  </si>
  <si>
    <t>Ø Leistung</t>
  </si>
  <si>
    <t>Anzahl Einheiten</t>
  </si>
  <si>
    <t>Total Verbrauch</t>
  </si>
  <si>
    <t>Ø Entwicklung in kWh</t>
  </si>
  <si>
    <t>Ø Entwicklung in CHF</t>
  </si>
  <si>
    <t>Total Einsparpotential</t>
  </si>
  <si>
    <t>Total Einsparungen</t>
  </si>
  <si>
    <t>Angabe des verwendeten durchschnittlichen Stromtarifs für die Berechnung der Energiekosten.</t>
  </si>
  <si>
    <t>Total Kosten</t>
  </si>
  <si>
    <t>Zahlungsplan Wettbewerbliche Ausschreibungen</t>
  </si>
  <si>
    <t>Besteht ein Innovationseffekt und wenn ja, welcher?</t>
  </si>
  <si>
    <t>E15</t>
  </si>
  <si>
    <t>D2</t>
  </si>
  <si>
    <t>B3</t>
  </si>
  <si>
    <t>B4</t>
  </si>
  <si>
    <t>Mobile</t>
  </si>
  <si>
    <t>D19</t>
  </si>
  <si>
    <t>Strasse; Adresse</t>
  </si>
  <si>
    <t>Organisation</t>
  </si>
  <si>
    <t>C8</t>
  </si>
  <si>
    <t>I2</t>
  </si>
  <si>
    <t>E7</t>
  </si>
  <si>
    <t>F7</t>
  </si>
  <si>
    <t>D7</t>
  </si>
  <si>
    <t>Referenzentwicklung/Einsparung/Entwick.</t>
  </si>
  <si>
    <t>B40</t>
  </si>
  <si>
    <t xml:space="preserve">Finanzierung </t>
  </si>
  <si>
    <t>G17</t>
  </si>
  <si>
    <t>G18</t>
  </si>
  <si>
    <t>G22</t>
  </si>
  <si>
    <t>H24</t>
  </si>
  <si>
    <t>Hellgrau hinterlegte Felder sind Eingabefelder für Text und Zahlen. Die Zeilenhöhe sollte beibehalten werden.</t>
  </si>
  <si>
    <t>Kontrollfeld
Finanzierungs-differenz</t>
  </si>
  <si>
    <t>c/o CimArk SA, Rte du Rawyl, 1950 Sion</t>
  </si>
  <si>
    <t>c/o CimArk SA, Rte du Rawyl 47, 1950 Sion</t>
  </si>
  <si>
    <t>Variable Kosten</t>
  </si>
  <si>
    <t>Contrôle du remplissage du formulaire</t>
  </si>
  <si>
    <t>Durée du programme</t>
  </si>
  <si>
    <t>Désignation abrégée (abréviation) du programme (15 caractères maximum)</t>
  </si>
  <si>
    <t>Quels investissements le programme engendre-t-il ?</t>
  </si>
  <si>
    <t>Coûts</t>
  </si>
  <si>
    <t>CF</t>
  </si>
  <si>
    <t>Coûts variables</t>
  </si>
  <si>
    <t>Budget / Financement (quantification)</t>
  </si>
  <si>
    <t>Champ de contrôle
Différence de financement</t>
  </si>
  <si>
    <t>Instructions concernant le budget (coûts)</t>
  </si>
  <si>
    <t>Remarques concernant le budget (coûts)</t>
  </si>
  <si>
    <t>Instructions concernant le financement</t>
  </si>
  <si>
    <t>Remarques concernant le financement</t>
  </si>
  <si>
    <t>Budget (quantification)</t>
  </si>
  <si>
    <t>Financement (quantification)</t>
  </si>
  <si>
    <t>Contributions de soutien d'organismes privés</t>
  </si>
  <si>
    <t>Quel est le risque financier maximal encouru par ProKilowatt en cas d'échec du programme ?</t>
  </si>
  <si>
    <t>Risque financier maximal (coûts non dépendants de la mise en œuvre) en cas d'échec du programme</t>
  </si>
  <si>
    <t>Contexte du budget / financement</t>
  </si>
  <si>
    <t>Répartition des économies sur la durée du programme</t>
  </si>
  <si>
    <t>Coûts dépendants de la mise en œuvre</t>
  </si>
  <si>
    <t>Évaluation du total des investissements engendrés par le programme</t>
  </si>
  <si>
    <t>Répartition des économies prévues sur la durée du programme</t>
  </si>
  <si>
    <t>c/o Cimark, Rte. du Rawyl 47, 1950 Sion</t>
  </si>
  <si>
    <t>027 322 17 79</t>
  </si>
  <si>
    <t>Centre de charge</t>
  </si>
  <si>
    <t>Impresa</t>
  </si>
  <si>
    <t>Ufficio federale dell'energia UFE</t>
  </si>
  <si>
    <t>Organo indipendente per le gare pubbliche</t>
  </si>
  <si>
    <t>nel settore dell'efficienza energetica</t>
  </si>
  <si>
    <t>Rubrica</t>
  </si>
  <si>
    <t>Stato</t>
  </si>
  <si>
    <t>Pagina del titolo</t>
  </si>
  <si>
    <t>Indici del programma</t>
  </si>
  <si>
    <t>Descrittivo del programma</t>
  </si>
  <si>
    <t>Situazione iniziale</t>
  </si>
  <si>
    <t>Obiettivi e misure parte 1</t>
  </si>
  <si>
    <t>Obiettivi e misure parte 2</t>
  </si>
  <si>
    <t>Riepilogo della valutazione dell'efficacia</t>
  </si>
  <si>
    <t>Responsabile / Organizzazione</t>
  </si>
  <si>
    <t>Attuazione del programma / Comunicazione</t>
  </si>
  <si>
    <t>Scenario di budget / finanziamento</t>
  </si>
  <si>
    <t>Budget / Finanziamento (quantificazione)</t>
  </si>
  <si>
    <t>Rischi del programma</t>
  </si>
  <si>
    <t>Documentazione condizioni supplementari</t>
  </si>
  <si>
    <t>Addizionalità</t>
  </si>
  <si>
    <t>Elenco degli allegati</t>
  </si>
  <si>
    <t>Osservazioni / suggerimenti</t>
  </si>
  <si>
    <t>Guida breve (formulario di proposta)</t>
  </si>
  <si>
    <t>Campi obbligatori</t>
  </si>
  <si>
    <t>I campi con fondo grigio chiaro sono campi di immissione per testo e numeri. L'altezza delle righe va mantenuta.</t>
  </si>
  <si>
    <t>I campi con fondo celeste contengono i risultati dei calcoli e non possono essere influenzati. Le formule sono visibili per rendere comprensibili i calcoli.</t>
  </si>
  <si>
    <t>non compilare!!</t>
  </si>
  <si>
    <t>Il campo Stato nel menu o in alto in ogni pagina indica quali parti del formulario sono già state interamente compilate.  Se lo stato è rosso, significa che non sono stati compilati tutti i campi obbligatori.</t>
  </si>
  <si>
    <t>Non appena sono state inserite tutte le informazioni obbligatorie, lo stato diventa verde.</t>
  </si>
  <si>
    <t>Tutti i campi in cui l'inizio della riga ha il fondo arancione sono campi obbligatori e devono essere compilati.  Ci sono anche dei campi obbligatori dinamici che dipendono dalle risposte nel formulario.</t>
  </si>
  <si>
    <t>Il formulario di proposta riepiloga i punti principali del programma per la valutazione!</t>
  </si>
  <si>
    <t>Dal momento che i programmi possono essere molto diversi, il richiedente redige una descrizione completa del programma e trasmette i dati di riferimento del programma nel formulario di proposta del programma.</t>
  </si>
  <si>
    <t>I formulari non vanno compilati. Le informazioni vengono rilevate da altri fogli di calcolo.</t>
  </si>
  <si>
    <t>Guida breve alla procedura</t>
  </si>
  <si>
    <t>Avvertenze importanti prima di compilare una proposta.</t>
  </si>
  <si>
    <t>2) Idea del programma</t>
  </si>
  <si>
    <t>3) Situazione iniziale</t>
  </si>
  <si>
    <t>4) Obiettivi e misure</t>
  </si>
  <si>
    <t>5) Organizzazione e finanziamento</t>
  </si>
  <si>
    <t>6) Monitoraggio</t>
  </si>
  <si>
    <t>7) Rischi del programma</t>
  </si>
  <si>
    <t>Facendo clic sul logo ProKilowatt si torna al menu.</t>
  </si>
  <si>
    <t>Su incarico dell'Ufficio federale dell'energia UFE</t>
  </si>
  <si>
    <t>Srl</t>
  </si>
  <si>
    <t>Ditta individuale</t>
  </si>
  <si>
    <t>Privato</t>
  </si>
  <si>
    <t xml:space="preserve">Ente di diritto pubblico </t>
  </si>
  <si>
    <t>altro</t>
  </si>
  <si>
    <t>Sì</t>
  </si>
  <si>
    <t>No</t>
  </si>
  <si>
    <t>AG Argovia</t>
  </si>
  <si>
    <t>AI Appenzello Interno</t>
  </si>
  <si>
    <t>AR Appenzello Esterno</t>
  </si>
  <si>
    <t>BL Basilea-Campagna</t>
  </si>
  <si>
    <t>BS Basilea-Città</t>
  </si>
  <si>
    <t>BE Berna</t>
  </si>
  <si>
    <t>FR Friburgo</t>
  </si>
  <si>
    <t>GE Ginevra</t>
  </si>
  <si>
    <t>GL Glarona</t>
  </si>
  <si>
    <t>GR Grigioni</t>
  </si>
  <si>
    <t>JU Giura</t>
  </si>
  <si>
    <t>LU Lucerna</t>
  </si>
  <si>
    <t>NW Nidwaldo</t>
  </si>
  <si>
    <t>OW Obwaldo</t>
  </si>
  <si>
    <t>SH Sciaffusa</t>
  </si>
  <si>
    <t>SZ Svitto</t>
  </si>
  <si>
    <t>SO Soletta</t>
  </si>
  <si>
    <t xml:space="preserve">SG San Gallo </t>
  </si>
  <si>
    <t>TI Ticino</t>
  </si>
  <si>
    <t>TG Turgovia</t>
  </si>
  <si>
    <t>VS Vallese</t>
  </si>
  <si>
    <t>ZG Zugo</t>
  </si>
  <si>
    <t>ZH Zurigo</t>
  </si>
  <si>
    <t>nessuno</t>
  </si>
  <si>
    <t>AenEC</t>
  </si>
  <si>
    <t xml:space="preserve">Convenzione cantonale </t>
  </si>
  <si>
    <t>Nazionale</t>
  </si>
  <si>
    <t>Regionale</t>
  </si>
  <si>
    <t>Numero del programma</t>
  </si>
  <si>
    <t>Controllo della completezza</t>
  </si>
  <si>
    <t>Referente</t>
  </si>
  <si>
    <t>Durata programma</t>
  </si>
  <si>
    <t>Mese(i)</t>
  </si>
  <si>
    <t>Ø Durata di utilizzo</t>
  </si>
  <si>
    <t>Risparmi di energia elettrica previsti</t>
  </si>
  <si>
    <t>Distribuzione dei risparmi sulla durata del programma</t>
  </si>
  <si>
    <t>Ø Risparmio in kWh/anno</t>
  </si>
  <si>
    <t>Costi programma</t>
  </si>
  <si>
    <t>Costi dipendenti dall'attuazione</t>
  </si>
  <si>
    <t>Contributi finanziamento, altri</t>
  </si>
  <si>
    <t>Periodo di payback del programma</t>
  </si>
  <si>
    <t>Efficienza del programma</t>
  </si>
  <si>
    <t>Efficienza dei mezzi per l'incentivazione impiegati</t>
  </si>
  <si>
    <t>kWh/anno</t>
  </si>
  <si>
    <t>Istruzioni e spiegazioni</t>
  </si>
  <si>
    <t>Consumo medio di elettricità senza programma per anno</t>
  </si>
  <si>
    <t>Tariffa media per il calcolo dell'evoluzione di riferimento</t>
  </si>
  <si>
    <t>Durata di utilizzo delle applicazioni coinvolte, che sono interessati dalle misure.</t>
  </si>
  <si>
    <t xml:space="preserve">Consumo medio di elettricità con programma per anno </t>
  </si>
  <si>
    <t>Consumo di elettricità con programma per l'intera durata di utilizzo in kWh e CHF</t>
  </si>
  <si>
    <t>Risparmio medio di energia elettrica per anno</t>
  </si>
  <si>
    <t>Totale dei costi del programma</t>
  </si>
  <si>
    <t>Contributi «a fondo perso» di Confederazione, cantone e altre istituzioni pubbliche</t>
  </si>
  <si>
    <t>Totale</t>
  </si>
  <si>
    <t>Partner principale</t>
  </si>
  <si>
    <t>Organizzazione 1 (partner principale)</t>
  </si>
  <si>
    <t>Acronimo del programma</t>
  </si>
  <si>
    <t>Definizione del programma</t>
  </si>
  <si>
    <t>Nome del programma</t>
  </si>
  <si>
    <t>Descrittivo del programma (Management Summary; pubblicato in caso di aggiudicazione!)</t>
  </si>
  <si>
    <t>Orientamento geografico (copertura) delle misure</t>
  </si>
  <si>
    <t>Precisazione dell'orientamento geografico</t>
  </si>
  <si>
    <t>Quanto dura il programma (indicazione in mesi)?</t>
  </si>
  <si>
    <t>Indicazioni sulla realizzazione</t>
  </si>
  <si>
    <t>Data di realizzazione del programma</t>
  </si>
  <si>
    <t>Osservazioni sul programma della realizzazione</t>
  </si>
  <si>
    <t>Inizio [mese, anno]</t>
  </si>
  <si>
    <t>Fine [mese, anno]</t>
  </si>
  <si>
    <t>Titolo del programma</t>
  </si>
  <si>
    <t>Descrittivo (abbreviazione) del programma (max. 15 caratteri)</t>
  </si>
  <si>
    <t>Copertura geografica del programma</t>
  </si>
  <si>
    <t>Spiegazione dell'orientamento geografico</t>
  </si>
  <si>
    <t>Nome dell'organizzazione</t>
  </si>
  <si>
    <t>Forma giuridica</t>
  </si>
  <si>
    <t>Spiegazione della forma giuridica</t>
  </si>
  <si>
    <t>Indirizzo</t>
  </si>
  <si>
    <t>Sito Internet</t>
  </si>
  <si>
    <t>Breve descrizione dell'attività dei responsabili del programma</t>
  </si>
  <si>
    <t>Referente per le gare pubbliche</t>
  </si>
  <si>
    <t>Organizzazione</t>
  </si>
  <si>
    <t>Cognome</t>
  </si>
  <si>
    <t>Funzione</t>
  </si>
  <si>
    <t>Telefono</t>
  </si>
  <si>
    <t>Altre organizzazioni nell'ente responsabile</t>
  </si>
  <si>
    <t>Organizzazione 2</t>
  </si>
  <si>
    <t>Organizzazione 3</t>
  </si>
  <si>
    <t>Organizzazione 4</t>
  </si>
  <si>
    <t>Nome</t>
  </si>
  <si>
    <t>Telefono cellulare</t>
  </si>
  <si>
    <t>Città</t>
  </si>
  <si>
    <t>Nome dell'organizzazione dell'ente responsabile</t>
  </si>
  <si>
    <t xml:space="preserve">Spiegazione o precisazione sulla forma giuridica qualora si tratti di persona privata, ente di diritto pubblico o altro </t>
  </si>
  <si>
    <t>Via; indirizzo</t>
  </si>
  <si>
    <t>NPA e città</t>
  </si>
  <si>
    <t>Descrizione dell'attività, del numero di collaboratori e dell'esperienza</t>
  </si>
  <si>
    <t>Nome dell'organizzazione del referente</t>
  </si>
  <si>
    <t>Inserimento dei numeri nella forma "044 245 65 43"</t>
  </si>
  <si>
    <t>Per descrizioni dettagliate degli altri partner dei responsabili del programma, utilizzare i formulari P1-P3. Fare clic sul link Partner x.</t>
  </si>
  <si>
    <t xml:space="preserve">Nome dell'organizzazione 2 dell'ente responsabile </t>
  </si>
  <si>
    <t>Nome dell'organizzazione 3 dell'ente responsabile</t>
  </si>
  <si>
    <t>Nome dell'organizzazione 4 dell'ente responsabile</t>
  </si>
  <si>
    <t>Strutturazione dell'organizzazione</t>
  </si>
  <si>
    <t>Ruolo e funzione nel programma</t>
  </si>
  <si>
    <t>Descrizione del ruolo e della funzione dell'organizzazione nel programma</t>
  </si>
  <si>
    <t>Come sono strutturate l'organizzazione e la collaborazione delle organizzazioni coinvolte?</t>
  </si>
  <si>
    <t>Quale/i organizzazione/i è/sono responsabili del programma? Nel caso di più organizzazioni: qual è l’organizzazione capofila? Quali funzioni e/o ruoli (incluse le competenze) rivestono le diverse organizzazioni? Come strutturano la loro collaborazione le varie organizzazioni?
Allegato sull'organizzazione (organigramma, competenze)</t>
  </si>
  <si>
    <t>Competenza per questo compito</t>
  </si>
  <si>
    <t>Descrizione della competenza disponibile per questo compito</t>
  </si>
  <si>
    <t>Referenze</t>
  </si>
  <si>
    <t>Indicazione di progetti di riferimento comparabili</t>
  </si>
  <si>
    <t>Risorse di personale</t>
  </si>
  <si>
    <t>Per le persone chiave allegare il curriculum vitae</t>
  </si>
  <si>
    <t>Persona 1 (responsabile del progetto e referente)</t>
  </si>
  <si>
    <t>Persona 2</t>
  </si>
  <si>
    <t>Persona 3</t>
  </si>
  <si>
    <t>Persona 4</t>
  </si>
  <si>
    <t>Ruolo</t>
  </si>
  <si>
    <t>Funzione nell'azienda</t>
  </si>
  <si>
    <t>Ruolo nel progetto</t>
  </si>
  <si>
    <t>Applicazioni, operatori di mercato e investimenti generati</t>
  </si>
  <si>
    <t>Quale applicazione si intende influenzare?</t>
  </si>
  <si>
    <t>Quali sono gli operatori di mercato rilevanti?</t>
  </si>
  <si>
    <t>Quali investimenti genera il programma?</t>
  </si>
  <si>
    <t>Potenziali di efficienza e di risparmio (qualitativi)</t>
  </si>
  <si>
    <t>Quali potenziali di efficienza e di risparmio esistono rispetto alla situazione attuale e con quali misure è possibile sfruttare questi potenziali?</t>
  </si>
  <si>
    <t>Barriere</t>
  </si>
  <si>
    <t>Per quali motivi (barriere) finora i potenziali di risparmio non sono stati sfruttati?</t>
  </si>
  <si>
    <t>Quanto sono rilevanti le varie barriere?</t>
  </si>
  <si>
    <t>Descrizione della situazione iniziale e dell'applicazione sulle quali deve agire il programma.</t>
  </si>
  <si>
    <t>Descrizione degli operatori di mercato rilevanti (utenti finali, soggetti attivi nel mercato, produttori) e del loro ruolo.</t>
  </si>
  <si>
    <t>Stima degli investimenti complessivi generati dal programma.</t>
  </si>
  <si>
    <t>Descrizione dei potenziali di risparmio rispetto alla situazione attuale.
Descrizione delle singole misure con cui è possibile sfruttare i potenziali.</t>
  </si>
  <si>
    <t>Descrizione delle ragioni e delle barriere che oggi impediscono di sfruttare i potenziali di risparmio.</t>
  </si>
  <si>
    <t>Spiegazione della rilevanza delle diverse barriere (ponderazione).</t>
  </si>
  <si>
    <t>Prestazioni contenute nelle misure (parte 1)</t>
  </si>
  <si>
    <t>Dettaglio</t>
  </si>
  <si>
    <t>Titolo della misura</t>
  </si>
  <si>
    <t>Quali misure sono incluse nel programma e con quale obiettivo?</t>
  </si>
  <si>
    <t>A chi sono rivolte le prestazioni (descrizione dei gruppi target)?</t>
  </si>
  <si>
    <t>Chi attua i risparmi di energia elettrica (intermediario della distribuzione)?</t>
  </si>
  <si>
    <t xml:space="preserve">Quali prestazioni e/o prodotti offre il programma (tipologia, portata e qualità delle prestazioni)? </t>
  </si>
  <si>
    <t>Descrivere le misure con obiettivi, prestazioni e gruppi target (qualora le misure siano più di tre, riepilogare le misure).</t>
  </si>
  <si>
    <t>Misura e obiettivo</t>
  </si>
  <si>
    <t>Gruppo target</t>
  </si>
  <si>
    <t>Prestazioni (descrizione e quantificazione)</t>
  </si>
  <si>
    <t>Titolo della misura: fissare un breve titolo per la misura
La misura principale comprende le prestazioni con un contributo finanziario per ogni applicazione</t>
  </si>
  <si>
    <t>Titolo della misura: fissare un breve titolo per la misura
La/le misura/e complementare/i comprende/comprendono le prestazioni mirate a smantellare le barriere diverse da quelle finanziarie</t>
  </si>
  <si>
    <t>Integrazione alle misure esistenti di Confederazione / cantone</t>
  </si>
  <si>
    <t>Grado di raggiungimento</t>
  </si>
  <si>
    <t>Quali barriere sono state smantellate?</t>
  </si>
  <si>
    <t>Cambiamenti di comportamento</t>
  </si>
  <si>
    <t>Interazione di diverse misure</t>
  </si>
  <si>
    <t>Si ha un'integrazione alle misure esistenti di Confederazione e cantone (sì/no)? In caso affermativo, in che modo?</t>
  </si>
  <si>
    <t xml:space="preserve">Quante persone e/o organizzazioni si intende raggiungere con le prestazioni (grado di raggiungimento dei gruppi target)? </t>
  </si>
  <si>
    <t>Quali barriere si intende eliminare o ridurre con le prestazioni?</t>
  </si>
  <si>
    <t>Quali cambiamenti di comportamento si intende realizzare con le prestazioni (comportamento di investimento e/o di utilizzo, comportamento degli utenti o altre)?</t>
  </si>
  <si>
    <t>Come si integrano vicendevolmente le diverse prestazioni e/o misure?</t>
  </si>
  <si>
    <t>Prestazioni contenute nelle misure (parte 2)</t>
  </si>
  <si>
    <t>Nota</t>
  </si>
  <si>
    <t>Calcolo della riduzione del consumo di elettricità</t>
  </si>
  <si>
    <t>Valutazione dell'efficacia (quantitativa)</t>
  </si>
  <si>
    <t>Indici della valutazione dell'efficacia</t>
  </si>
  <si>
    <t>Ø Evoluzione in kWh</t>
  </si>
  <si>
    <t>Ø Evoluzione in CHF</t>
  </si>
  <si>
    <t>Unità</t>
  </si>
  <si>
    <t>Ø Consumo/anno</t>
  </si>
  <si>
    <t>Ø Risparmio/anno</t>
  </si>
  <si>
    <t>Totale del consumo</t>
  </si>
  <si>
    <t>Numero di unità</t>
  </si>
  <si>
    <t>Ø Consumo per anno</t>
  </si>
  <si>
    <t>Ø Rendimento</t>
  </si>
  <si>
    <t>Totale del potenziale di risparmio</t>
  </si>
  <si>
    <t>Totale risparmi</t>
  </si>
  <si>
    <t>Anno</t>
  </si>
  <si>
    <t>Anno 1</t>
  </si>
  <si>
    <t>Anno 2</t>
  </si>
  <si>
    <t>Anno 3</t>
  </si>
  <si>
    <t>Contributi variabili anno 1</t>
  </si>
  <si>
    <t>Contributi variabili anno 2</t>
  </si>
  <si>
    <t>Contributi variabili anno 3</t>
  </si>
  <si>
    <t>Totale dei contributi variabili al programma</t>
  </si>
  <si>
    <t>Contributi variabili al programma / applicazione</t>
  </si>
  <si>
    <t>Contributo finanziario / applicazione</t>
  </si>
  <si>
    <t>pezzo</t>
  </si>
  <si>
    <t>Qui si effettua la spiegazione quantitativa dell'evoluzione di riferimento, del potenziale di risparmio e dei contributi delle gare pubbliche.</t>
  </si>
  <si>
    <t>Indicazione della tariffa media dell'elettricità utilizzata per il calcolo dei costi dell'energia.</t>
  </si>
  <si>
    <t>Registrazione della durata di utilizzo media dell'applicazione interessata</t>
  </si>
  <si>
    <t>Indicazione dell'evoluzione del consumo senza programma per anno e per l'intera durata di utilizzo dell'applicazione</t>
  </si>
  <si>
    <t xml:space="preserve">Indicazione dell'evoluzione del consumo con programma per anno e per l'intera durata di utilizzo dell'applicazione </t>
  </si>
  <si>
    <t xml:space="preserve">Distribuzione dei risparmi previsti sulla durata del programma </t>
  </si>
  <si>
    <t>Indicazione del contributo variabile del programma per applicazione (misura principale)</t>
  </si>
  <si>
    <t>Numero di applicazioni pianificate attuate nel primo anno del programma</t>
  </si>
  <si>
    <t xml:space="preserve">Numero di applicazioni pianificate attuate  nel secondo anno del programma </t>
  </si>
  <si>
    <t xml:space="preserve">Numero di applicazioni pianificate attuate  nel terzo anno del programma </t>
  </si>
  <si>
    <t xml:space="preserve">Numero di applicazioni attuate nel primo anno del programma </t>
  </si>
  <si>
    <t xml:space="preserve">Numero di applicazioni attuate nel secondo anno del programma </t>
  </si>
  <si>
    <t xml:space="preserve">Numero di applicazioni attuate nel terzo anno del programma </t>
  </si>
  <si>
    <t>Totale dei contributi variabili del programma sulle applicazioni attuate</t>
  </si>
  <si>
    <t>Attuazione del programma (riepilogo)</t>
  </si>
  <si>
    <t>Concetto della comunicazione (riepilogo)</t>
  </si>
  <si>
    <t>Monitoraggio</t>
  </si>
  <si>
    <t>Come è organizzata l'attuazione del programma?</t>
  </si>
  <si>
    <t>Quali misure sono previste per rendere noto il programma e/o raggiungere il gruppo target?</t>
  </si>
  <si>
    <t>In che modo vengono registrate le misure realizzate dal cliente finale e come viene calcolato il consumo di elettricità corrispondente?</t>
  </si>
  <si>
    <t>In che modo l'evoluzione di riferimento viene verificata sulla base dei risparmi ottenuti e, all'occorrenza, come viene adattata?</t>
  </si>
  <si>
    <t>Allegato con i dettagli relativi all'attuazione del programma con descrizione di strutture, processi, strumenti e mezzi e con un calendario del progetto con timeline.</t>
  </si>
  <si>
    <t>Breve riepilogo e rimando all'allegato: concetto della comunicazione con tutte le misure di marketing e comunicazione pianificate.</t>
  </si>
  <si>
    <t>Mostrare come e con quali mezzi saranno registrate in una prima fase le attività del programma, i clienti finali raggiunti e le misure di efficienza adottate dai clienti finali e come viene calcolato il consumo di elettricità corrispondente (eventualmente fare un rimando all'allegato).</t>
  </si>
  <si>
    <t>Descrizione dell'attuazione del programma e della comunicazione</t>
  </si>
  <si>
    <t>Costi</t>
  </si>
  <si>
    <t>Creazione di un budget dettagliato per tutta la durata del programma, con indicazioni relative alle singole attività (gestione del programma, comunicazione, finanziamento delle misure previste nel programma) come allegato alla proposta.
Riportare dati e cifre di riferimento del budget nei campi sottostanti e nella tabella 9.</t>
  </si>
  <si>
    <t>Gestione del programma</t>
  </si>
  <si>
    <t>Misure</t>
  </si>
  <si>
    <t>Contributi variabili del programma (8.2)</t>
  </si>
  <si>
    <t>Totale dei costi</t>
  </si>
  <si>
    <t>Costi per misure di marketing e comunicazione secondo il concetto di comunicazione</t>
  </si>
  <si>
    <t>Eventuali altre misure complementari per smantellare le barriere</t>
  </si>
  <si>
    <t>Contributi variabili su applicazioni che vengono attuate nel quadro del programma.</t>
  </si>
  <si>
    <t>Unità di costo</t>
  </si>
  <si>
    <t>Costi fissi</t>
  </si>
  <si>
    <t>Totale costi fissi</t>
  </si>
  <si>
    <t>Costi variabili</t>
  </si>
  <si>
    <t>Campo di controllo
Differenza di finanziamento</t>
  </si>
  <si>
    <t>Istruzioni sul budget (costi)</t>
  </si>
  <si>
    <t>Osservazioni sul budget (costi)</t>
  </si>
  <si>
    <t>Istruzioni sul finanziamento</t>
  </si>
  <si>
    <t>Osservazioni sul finanziamento</t>
  </si>
  <si>
    <t>Budget (quantificazione)</t>
  </si>
  <si>
    <t>Finanziamento (quantificazione)</t>
  </si>
  <si>
    <t>Indicazione della provenienza degli altri contributi (pubblica amministrazione e/o organizzazioni private)</t>
  </si>
  <si>
    <t>In caso affermativo, provengono da organizzazioni private?</t>
  </si>
  <si>
    <t>In caso affermativo, provengono dalla pubblica amministrazione?</t>
  </si>
  <si>
    <t>Domande relative al finanziamento</t>
  </si>
  <si>
    <t>Finanziamento</t>
  </si>
  <si>
    <t>Come viene finanziato il programma?</t>
  </si>
  <si>
    <t>Quale parte deve essere coperta dalle gare pubbliche?</t>
  </si>
  <si>
    <t>Delle quote dei costi vengono finanziate da altre organizzazioni?</t>
  </si>
  <si>
    <t>Quali sono le quote coperte da altre organizzazioni?</t>
  </si>
  <si>
    <t>Il finanziamento di questi altri contributi è garantito?</t>
  </si>
  <si>
    <t>In caso affermativo, come?
In caso negativo, come?</t>
  </si>
  <si>
    <t>Costi (8.4)</t>
  </si>
  <si>
    <t>Prestazioni proprie</t>
  </si>
  <si>
    <t>Contributi di incentivazione di organizzazioni pubbliche</t>
  </si>
  <si>
    <t>Totale finanziamento</t>
  </si>
  <si>
    <t>Piano di pagamento delle gare pubbliche</t>
  </si>
  <si>
    <t>Come si presenta il piano di pagamento per il programma?</t>
  </si>
  <si>
    <t>Descrivere il finanziamento e i partner coinvolti per il finanziamento.</t>
  </si>
  <si>
    <t>Cosa viene pagato con i mezzi delle gare pubbliche?</t>
  </si>
  <si>
    <t>Oltre alle gare pubbliche ci sono altri contributi «a fondo perso» di altre organizzazioni (Confederazione, cantone o altre organizzazioni private)?</t>
  </si>
  <si>
    <t>Definizioni delle quote che vengono finanziate da altre organizzazioni.</t>
  </si>
  <si>
    <t>Definizione delle quote che vengono coperte da altre organizzazioni.</t>
  </si>
  <si>
    <t>In caso affermativo, è già disponibile una conferma?
In caso negativo, entro quando sarà disponibile e da cosa dipende?</t>
  </si>
  <si>
    <t>Riprendere i costi da (6.2)</t>
  </si>
  <si>
    <t>Prestazioni proprie erogate dall'organo responsabile (per es. personale, infrastruttura, ecc.)</t>
  </si>
  <si>
    <t>Descrizione del piano di pagamento per i mezzi delle gare pubbliche nella descrizione dettagliata del programma o come allegato.</t>
  </si>
  <si>
    <t>Contributi di incentivazione di organizzazioni private</t>
  </si>
  <si>
    <t>Prima dell'attuazione del programma</t>
  </si>
  <si>
    <t>Quali questioni sono ancora aperte in merito alle tecnologie impiegate per le misure di efficienza?</t>
  </si>
  <si>
    <t>Quali incertezze sussistono nella valutazione dell'efficacia del programma?</t>
  </si>
  <si>
    <t>Quali rischi esistono per garantire il finanziamento?</t>
  </si>
  <si>
    <t>Attuazione del programma</t>
  </si>
  <si>
    <t>Quali condizioni generali possono influenzare il risparmio di elettricità atteso?</t>
  </si>
  <si>
    <t>Le risorse di personale e la competenza specialistica sono disponibili?</t>
  </si>
  <si>
    <t>Ci sono incertezze sul raggiungimento degli obiettivi?</t>
  </si>
  <si>
    <t xml:space="preserve">Quali sono le insicurezze tecniche sulla gestione? </t>
  </si>
  <si>
    <t>Qual è il rischio finanziario massimo risultante per ProKilowatt in caso di fallimento del programma?</t>
  </si>
  <si>
    <t>I rischi di attuazione devono essere più piccoli possibile. Questi confluiscono nella valutazione del programma con una ponderazione di 0.15.</t>
  </si>
  <si>
    <t>Descrivere i rischi o le incertezze di tipo tecnologico nell'attuazione delle misure di efficienza.</t>
  </si>
  <si>
    <t>Descrivere le incertezze nella valutazione dell'efficacia (ossia l'insufficienza dell'evidenza empirica).</t>
  </si>
  <si>
    <t>Rischi esistenti nel finanziamento? Qualora sussistano dei rischi, descrivere cosa viene fatto per contrastarli.</t>
  </si>
  <si>
    <t>Condizioni generali incerte che potrebbero ostacolare il raggiungimento degli obiettivi.</t>
  </si>
  <si>
    <t>Mancanza di risorse di personale e mancanza di competenze specialistiche.</t>
  </si>
  <si>
    <t>Insicurezze (motivazione, cambiamento di comportamento) nei gruppi target, che influenzano il risparmio.</t>
  </si>
  <si>
    <t>Incertezze tecniche sulla gestione (guasti, scarso grado di efficienza).</t>
  </si>
  <si>
    <t>Massimo rischio finanziario (costi non legati all'attuazione) in caso di fallimento del programma.</t>
  </si>
  <si>
    <t>Effetto rafforzativo</t>
  </si>
  <si>
    <t>C'è un effetto rafforzativo? E in caso affermativo, quale?</t>
  </si>
  <si>
    <t>Effetto inerziale</t>
  </si>
  <si>
    <t>Come viene raggiunto l'effetto inerziale?</t>
  </si>
  <si>
    <t>Effetto di innovazione</t>
  </si>
  <si>
    <t>C'è un effetto di innovazione? E in caso affermativo, quale?</t>
  </si>
  <si>
    <t>Effetto segnaletico</t>
  </si>
  <si>
    <t>Quale effetto segnaletico ci si può attendere dal programma?</t>
  </si>
  <si>
    <t>Le condizioni supplementari non devono essere necessariamente soddisfatte, ma nella valutazione se ne tiene conto con una ponderazione di 0.1.</t>
  </si>
  <si>
    <t>Descrivere l'effetto rafforzativo delle diverse misure.
Quali misure esistenti o pianificate sostiene il programma?</t>
  </si>
  <si>
    <t>Descrivere l'effetto inerziale delle diverse misure.
Il programma ha la potenzialità di essere  proseguito in futuro senza il supporto delle «gare pubbliche»?</t>
  </si>
  <si>
    <t>Descrivere l'effetto di innovazione delle diverse misure. 
Il programma contribuisce a rendere più veloce la maturità commerciale delle nuove tecnologie o la diffusione delle tecnologie innovative e delle misure di efficienza?</t>
  </si>
  <si>
    <t>Descrivere il valore di esempio delle diverse misure.
Il programma serve a far radicare il tema del consumo più efficiente di energia elettrica negli attori rilevanti?</t>
  </si>
  <si>
    <t>Nessuna attuazione senza il programma</t>
  </si>
  <si>
    <t>Perché il programma e/o le misure non vengono attuati senza aggiudicazione?</t>
  </si>
  <si>
    <t>Addizionalità del programma</t>
  </si>
  <si>
    <t xml:space="preserve">Qual è l'influsso del contributo finanziario sul programma e in che modo viene evitata un'eventuale eliminazione dei mezzi dei programmi esistenti? </t>
  </si>
  <si>
    <t>Addizionalità delle misure di efficienza</t>
  </si>
  <si>
    <t>Quale connessione c'è tra le barriere e le prestazioni proposte dal programma?</t>
  </si>
  <si>
    <t>Produrre la dimostrazione che senza l'aggiudicazione delle gare pubbliche il programma non può essere attuato o non può essere attuato nella stessa misura.</t>
  </si>
  <si>
    <t>Produrre la dimostrazione che senza il contributo finanziario il programma non può essere eseguito o non può essere eseguito nella stessa misura. Delimitazione chiara rispetto ai programmi esistenti e esclusione di un'eliminazione di mezzi o di un indebolimento dell'azione dei programmi esistenti.</t>
  </si>
  <si>
    <t xml:space="preserve">Esposizione delle connessioni tra le barriere esistenti e le misure proposte nel programma. Le barriere fatte valere devono essere descritte e motivate.
È necessario esporre quale parte dei gruppi target è interessata dalle barriere. </t>
  </si>
  <si>
    <t>Consenso</t>
  </si>
  <si>
    <t>Correttezza, completezza e verificabilità dei dati</t>
  </si>
  <si>
    <t xml:space="preserve">Il richiedente conferma con un SI e con la firma legalmente valida la correttezza e la completezza dei dati forniti. 
Il richiedente accorda all'esperto indipendente incaricato di poter consultare, all'occorrenza, la documentazione necessaria per verificare l'evoluzione di riferimento, il risparmio di energia elettrica dei modelli quantitativi e le  informazioni relative alle convenzioni sugli obiettivi. </t>
  </si>
  <si>
    <t>Firma</t>
  </si>
  <si>
    <t>Luogo, data</t>
  </si>
  <si>
    <t>Firma(e) legalmente valida(e) del richiedente</t>
  </si>
  <si>
    <t>Allegati</t>
  </si>
  <si>
    <t>Allegato 1</t>
  </si>
  <si>
    <t>Allegato 2</t>
  </si>
  <si>
    <t>Allegato 3</t>
  </si>
  <si>
    <t>Allegato 4</t>
  </si>
  <si>
    <t>Allegato 5</t>
  </si>
  <si>
    <t>Allegato 6</t>
  </si>
  <si>
    <t>Allegato 7</t>
  </si>
  <si>
    <t>Allegato 8</t>
  </si>
  <si>
    <t>Allegato 9</t>
  </si>
  <si>
    <t>Allegato 10</t>
  </si>
  <si>
    <t>Descrizione del programma</t>
  </si>
  <si>
    <t>Titolo dell'allegato</t>
  </si>
  <si>
    <t>Breve descrizione del contenuto dell'allegato</t>
  </si>
  <si>
    <t>Osservazioni sulla proposta</t>
  </si>
  <si>
    <t>Suggerimenti relativi alla documentazione del bando di gara</t>
  </si>
  <si>
    <t>TG Thurgau</t>
  </si>
  <si>
    <r>
      <t xml:space="preserve">Sprachwahl / </t>
    </r>
    <r>
      <rPr>
        <i/>
        <sz val="10"/>
        <rFont val="Arial"/>
        <family val="2"/>
      </rPr>
      <t>Choix de la langue / Scegliere la lingua</t>
    </r>
  </si>
  <si>
    <t>Estimation des investissements totaux engendrés par le programme</t>
  </si>
  <si>
    <t>Schätzung der induzierten gesamten Investitionen durch das Programm</t>
  </si>
  <si>
    <t>Stima del totale degli investimenti indotti dal programma</t>
  </si>
  <si>
    <t>Décembre 2011 : CHF 55 000.-- de coûts fixes
Octobre 2012 : CHF 40 000.-- (montant restant) de coûts fixes
Coûts variables en fonction des mises en œuvre déjà effectuées :
Calcul partiel en avril 2012
Calcul final prévu pour début 2012</t>
  </si>
  <si>
    <t>Dezember 2011: CHF 55'000.-- an fixe Kosten
Oktober 2012: CHF 40'000.-- (Restbetrag) an fixe Kosten
Variable Kosten in Abhängigkeit der erfolgten Umsetzungen:
Teilrechnung im April 2012
Schlussrechnung voraussichtlich anfangs 2012</t>
  </si>
  <si>
    <t>Contribution des appels d'offres publics TVA incluse</t>
  </si>
  <si>
    <t>Contributo delle gare pubbliche IVA inclusa</t>
  </si>
  <si>
    <t>Pflichtfelder</t>
  </si>
  <si>
    <t>Beitrag Wettbewerbliche Ausschreibungen inkl. MWST</t>
  </si>
  <si>
    <t>Efficacité des moyens de soutien engagés</t>
  </si>
  <si>
    <t>Effizienz der eingesetzten Fördermittel</t>
  </si>
  <si>
    <t>Contribution sollicitée dans le cadre des appels d'offres publics  - Contribution minimale CHF 150'000, contribution maximale CHF 1 million</t>
  </si>
  <si>
    <t>Contributo richiesto nel quadro delle gare pubbliche minimo 150'000.-, massimo 1 mln. CHF</t>
  </si>
  <si>
    <t>Verlangter Beitrag "Wettbewerbliche Ausschreibungen" minimal 150'000.-, maximal 1 Mio CHF</t>
  </si>
  <si>
    <t>Applications, acteurs du marché et investissements  engendrés</t>
  </si>
  <si>
    <t>Anwendungen, Marktakteure und ausgelöste Investitionen</t>
  </si>
  <si>
    <t>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t>
  </si>
  <si>
    <t>Erstellen eines detaillierten Budgets über die gesamte Laufzeit des Programms mit Angaben zu den einzelnen Aktivitäten (Programm Management, Kommunikation, Finanzierung der im Programm vorgesehenen Massnahmen) als Beilage  des Antrags.
Übertragen Sie Angaben und Eckzahlen des Budgets in untenstehende Felder bzw. in Tabelle 9.</t>
  </si>
  <si>
    <t>Total des coûts fixes</t>
  </si>
  <si>
    <t>Si oui, existe-t-il des confirmations définitives?
Si non, quand ces confirmations seront-elles définitives et de quoi dépend leur obtention?</t>
  </si>
  <si>
    <t>Beschreibung Zahlungsplan für die Mittel der Wettbewerblichen Ausschreibungen in der Detailbeschreibung Programm oder als Beilage.</t>
  </si>
  <si>
    <t>Description du plan de paiement des moyens mis à disposition dans le cadre des appels d'offres publics soit dans le descriptif du programme ou dans l'annexe.</t>
  </si>
  <si>
    <t>Brève description du programme (État récapitulatif, publié en cas d'acceptation !)</t>
  </si>
  <si>
    <t>Kurzbeschreibung des Programms (Management Summary; wird bei Zusage publiziert!)</t>
  </si>
  <si>
    <t>Management- und Kommunikationskosten</t>
  </si>
  <si>
    <t>Umsetzungs-abhängige Kosten</t>
  </si>
  <si>
    <t>Management-, und Kommunikationskosten</t>
  </si>
  <si>
    <t>Titel Massnahme 1 (Hauptmassnahme)</t>
  </si>
  <si>
    <t>Titel Massnahme 2 (Flankierende Massnahme)</t>
  </si>
  <si>
    <t>Titel Massnahme 3 (diverse Leistungen)</t>
  </si>
  <si>
    <t>Titre de la mesure 1 (Prestation principale)</t>
  </si>
  <si>
    <t>Titre de la mesure 2 (Prestation complémentaire)</t>
  </si>
  <si>
    <t>Titre de la mesure 3 (Diverses prestations)</t>
  </si>
  <si>
    <t>Titolo della misura 1 (misura principale)</t>
  </si>
  <si>
    <t>Titolo della misura 2 (misura complementare)</t>
  </si>
  <si>
    <t>Titolo della misura 3 (varie prestazioni)</t>
  </si>
  <si>
    <t>Structure de la description du programme (concept du programme)</t>
  </si>
  <si>
    <t>Coûts de management et de communication</t>
  </si>
  <si>
    <t>Autres fonds de soutien (sauf fédéral)</t>
  </si>
  <si>
    <t>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t>
  </si>
  <si>
    <t>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t>
  </si>
  <si>
    <t>Communication du programme</t>
  </si>
  <si>
    <t>Struttura della descrizione del programma (concetto del programma)</t>
  </si>
  <si>
    <t>Costi di gestione e comunicazione</t>
  </si>
  <si>
    <t>Comunicazione del programma</t>
  </si>
  <si>
    <t>Altri fondi di sostegno (eccetto federale)</t>
  </si>
  <si>
    <t>I costi si distinguono in due categorie : i costi di gestione e comunicazione e i costi dipendenti dall'attuazione. I costi dipendenti dall'attuazione si presentano solamente se viene realizzata anche l'attuazione effettiva delle misure per il risparmio di energia elettrica.
Il budget viene diviso in porzioni di un anno per tutta la durata del programma.
I campi vuoti vengono riempiti con 0 CHF.</t>
  </si>
  <si>
    <t>Il finanziamento delle singole attività è suddivisa secondo i diversi partner di finanziamento.
I campi vuoti vengono riempiti con 0 CHF
Dal momento che la suddivisione del finanziamento viene applicata anche all'esame dei rischi, tale suddivisione è obbligatoria. Nel caso in cui i sconti sono accettati, deveono essere dichiarati. I sconto devono essere restituiti ai destinatari dei programmi (gli utenti finali)</t>
  </si>
  <si>
    <t>Remarques concernant la date de début la plus tôt possible et le calendrier de réalisation</t>
  </si>
  <si>
    <t>Osservazioni sulla data più presto possibile per l'inizio e sul programma della realizzazione</t>
  </si>
  <si>
    <t>Indication de la consommation moyenne par application et par an</t>
  </si>
  <si>
    <t>Indicazione del consumo medio per applicazione e per anno</t>
  </si>
  <si>
    <t>Angabe des durchschnittlichen Verbrauchs pro Anwendung und pro Jahr</t>
  </si>
  <si>
    <t>Indication du nombre d'applications sur lesquelles doit agir le programme</t>
  </si>
  <si>
    <t>Angabe der Anzahl Anwendungen, welche durch das Programm beeinflusst werden.</t>
  </si>
  <si>
    <t>Indicazione del numero di applicazioni sulle quali agisce il programma.</t>
  </si>
  <si>
    <t>Ø Économies/an</t>
  </si>
  <si>
    <t>Nom de l'organisation porteuse</t>
  </si>
  <si>
    <t>Achtung! Die nachträgliche Änderung der Sprachauswahl kann bei vorgegebenen Auswahlfeldern zu Fehlern führen.</t>
  </si>
  <si>
    <t>Attenzione, un’ulteriore cambiamento della scelta della lingua può provocare degli errori nelle checkbox nel documento.</t>
  </si>
  <si>
    <t>Informations- und Weiterbildungskosten</t>
  </si>
  <si>
    <t>Coûts d'information et de formation</t>
  </si>
  <si>
    <t>Letzter Check vor dem Ausdrucken bzw. Versand des Antrages :</t>
  </si>
  <si>
    <t>Attention! Un changement ultérieur du choix de la langue peut entrainer des erreurs dans les cases à choix du document.</t>
  </si>
  <si>
    <t>- La demande imprimée est signée!</t>
  </si>
  <si>
    <t>- Keine Zelle im Antragsformular ist rot!</t>
  </si>
  <si>
    <t>- Der Nachweis der Stromeinsparung im eingereichten Dossier ist vorhanden, klar, nachvollziehbar und transparent!</t>
  </si>
  <si>
    <t>- Der ausgedruckte Antrag ist unterschrieben!</t>
  </si>
  <si>
    <t>Programmmanagement</t>
  </si>
  <si>
    <t>Dernière vérification avant l'impression, respectivement l'envoi de la demande :</t>
  </si>
  <si>
    <t>- Aucune cellule dans le formulaire de demande n’est rouge!</t>
  </si>
  <si>
    <t>- La preuve de l'économie d'électricité dans le dossier déposé est disponible, précise, compréhensible et transparente!</t>
  </si>
  <si>
    <t>Ultima verificazione prima della stampa, rispettivamente l’invio della domanda:</t>
  </si>
  <si>
    <t>- Nessuna cellula del modulo di domanda deve essere rossa !</t>
  </si>
  <si>
    <t>- La prova del risparmio di elettricità nel documento consegnato, è : disponibile, preciso, comprensibile e trasparente.</t>
  </si>
  <si>
    <t>- Il documento stampato è firmato !</t>
  </si>
  <si>
    <t>in %</t>
  </si>
  <si>
    <t>Die totale Einsparung muss in der Summe 100 % entsprechen.</t>
  </si>
  <si>
    <t>Struktur Programmbeschreibung (Programmkonzept)</t>
  </si>
  <si>
    <t>Programmkommunikation</t>
  </si>
  <si>
    <t>Andere Fördergelder (ausser Bund)</t>
  </si>
  <si>
    <t>Bei den Kosten wird unterschieden zwischen Management- und Kommunikations und umsetzungsabhängigen Kosten. Die umsetzungsabhängigen Kosten fallen nur an, wenn die effektive Umsetzung der stromeinsparenden Massnahmen auch realisiert wird.
Das Budget wird in Jahrestranchen über die gesamte Programmlaufzeit erstellt.
Leere Felder werden mit 0 CHF ausgefüllt.</t>
  </si>
  <si>
    <t>Bei der Finanzierung der einzelnen Aktivitäten wird nach den verschiedenen Finanzierungspartnern aufgeteilt.
Leere Felder werden mit 0 CHF ausgefüllt
Da die Aufteilung der Finanzierung auch für die Risikobetrachtung herangezogen wird, ist das Aufteilen Pflicht.
Werden Rabatte gewährt, sind diese zu deklarieren. Rabatte müssen an die Adressaten des Programms (bzw. die Endverbraucher) weitergegeben werden.</t>
  </si>
  <si>
    <t>Exemple</t>
  </si>
  <si>
    <t>Beispiel</t>
  </si>
  <si>
    <t>Esempio</t>
  </si>
  <si>
    <t xml:space="preserve">- Auf landwirtschaftlichen Betrieben spielte die Energieeffizienz bei der Elektrizität bisher eine Nebenrolle, obwohl ein durchschnittlicher Schweizer Landwirtschaftsbetrieb rund 14‘000 kWh Strom pro Jahr verbraucht. Die Warmwassererzeugung und die Milchkühlung gehören dabei zu den grössten Verbrauchern auf Milchwirtschaftsbetrieben. 
- Dieses Programm zielt auf die Optimierung der Milchkühlung und der Aufbereitung von Heisswasser durch Rückgewinnung der Wärme aus der Milchkühlung und Nutzung dieser ohnehin anfallenden Abwärme zur Erwärmung von Brauchwasser.
- Bisher wurden auf Schweizer Landwirtschaftsbetrieben nur sehr wenige Wärmerückgewinnungsanlagen installiert. Dafür gibt es mehrere Gründe, wie die fehlende Bekanntheit des Systems, das kleine Angebot der Hersteller oder die fehlenden Anreize zum Stromsparen.
- AgroCleanTech, die Energie- und Klimaagentur der Schweizer Landwirtschaft, hat dieses Programm zusammen mit seinen Partnern, der Energieagentur St.Gallen GmbH, den Bauernverbänden Aargau, Fribourg und St.Gallen und den jeweiligen kantonalen landwirtschaftlichen Beratungsdiensten entwickelt. 
- Ziel ist es, die Landwirte für Energieeffizienz zu sensibilisieren, die Wärmerückgewinnung aus der Milchkühlung bekannt zu machen und den Markt anzuregen, damit mehr Systeme entwickelt und angeboten werden. 
- Das Programm hat eine Laufzeit von drei Jahren und deckt die Kantone Aargau, Fribourg und St.Gallen ab. Die Ausweitung auf weitere Kantone ist geplant.  Eine eingesparte Kilowattstunde kostet im Rahmen dieses Programms knapp 5 Rappen an Fördermitteln. 
- Insgesamt sollen Investitionen von 1.3 Mio CHF ausgelöst und fast 20 GWh Strom eingespart werden. 
- Die Landwirte erhalten einen Förderbeitrag von 1‘400 CHF, wenn sie ihre alten bestehenden Anlagen umrüsten.
</t>
  </si>
  <si>
    <t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t>
  </si>
  <si>
    <t xml:space="preserve">Testo del capitolo 1.1 Breve descrizione del concetto del programma
Descrittivo del programma compreso Max 2'000 caratteri  :
- Situazione iniziale
- Obiettivi / Misure pianificate
- Bersaglio                                                          
- Meccanismo di incentivazione                         
- Risparmio di elettricità
- Orientamento geografico
- Responsabile (partner, ruolo, organizzazione)
- Costi / Finanziamento
- Distinzione con altre misure esistenti e/o previste
In caso di accettazione, questo descrittivo viene utilizzato per la comunicazione su Internet e altri media! 
Se la descrizione non soddisfa i requisiti, il programma dovrà essere rivisto prima della pubblicazione.
</t>
  </si>
  <si>
    <t>Verteilung der ausgelösten Einsparungen über die Programmdauer</t>
  </si>
  <si>
    <t>Text aus Kapitel 1.1 Kurzbeschrieb des Programmkonzeptes
Kurzbeschreibung des Programms mit den Punkten (max. 2'000 Zeichen):
- Ausgangslage
- Ziele / geplante Massnahmen
- Zielgruppe
- Fördermechanismus
- Stromeinsparung
- geographische Ausrichtung
- Trägerschaft (Partner, Rolle, Organisation)
- Kosten / Finanzierung
- Abgrenzung zu bestehenden und/oder geplanten Massnahmen
Diese Kurzbeschreibung wird bei einer Zusage verwendet für die Kommunikation im Internet und in anderen Medien!
Falls diese Kurzbeschreibung nicht den Anforderungen entspricht, muss sie durch die Trägerschaft vor der Publikation nochmals überarbeitet werden!</t>
  </si>
  <si>
    <t>en %</t>
  </si>
  <si>
    <t>Il risparmio totale deve corrispondere alla somma del 100%.</t>
  </si>
  <si>
    <t>L’économie totale doit correspondre à la somme de 100%.</t>
  </si>
  <si>
    <t>Costi d’informazione et di formazione</t>
  </si>
  <si>
    <t>Coûts liés à diverses mesures  (obligation de les décrire dans le concept du programme au chapitre 2.1.3 Mesures)</t>
  </si>
  <si>
    <t>Kosten für diverse Massnahmen (Beschrieb in Kap. 2.1.3 Massnahmen in Programmkonzept zwingend)</t>
  </si>
  <si>
    <t>Costi per diverse misure
(Obbligo di descriverli nel concetto del programma al capitolo 2.1.3 Misure)</t>
  </si>
  <si>
    <t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t>
  </si>
  <si>
    <t>- Nelle aziende agricole, finora l’efficienza energetica aveva solo un ruolo secondario, nonostante un’azienda agricola svizzera in media consumi circa 14’000 kWh di elettricità all’anno. La produzione di acqua calda e il raffreddamento del latte costituiscono il maggior fattore di consumo di elettricità delle aziende lattiere. 
- Questo programma mira a ottimizzare i due processi attraverso il recupero del calore proveniente dal raffreddamento del latte e lo sfruttamento del calore prodotto per riscaldare acqua calda sanitaria. 
- Fino ad ora, nelle aziende agricole svizzere sono stati installati solo pochissimi impianti di recupero del calore. Le ragioni sono molteplici, per esempio il fatto che il sistema è poco conosciuto, la scarsa offerta dei fabbricanti o la mancanza di incentivi a risparmiare elettricità. 
- AgroCleanTech, l’agenzia dell’agricoltura svizzera per l’energia e il clima, ha sviluppato questo programma insieme ai suoi partner, l’Energieagentur St. Gallen GmbH, le Unioni dei contadini di Argovia, Friborgo e S. Gallo e i rispettivi servizi di consulenza agricoli cantonali. 
- L’obiettivo è sensibilizzare gli agricoltori, far conoscere il recupero del calore derivante dal raffreddamento del latte e stimolare il mercato affinché vengano sviluppati e proposti più sistemi. 
- Il programma ha una durata di tre anni e copre i Cantoni Argovia, Friborgo e S. Gallo. È previsto l’allargamento a uno-due altri cantoni. Nel quadro di questo programma, un chilowattora costa appena 5 centesimi in sovvenzioni. 
- Nel complesso, devono essere attivati investimenti per 1.3 milioni di franchi per un risparmio di elettricità pari a quasi 20 GWh. 
- Gli agricoltori riceveranno un contributo di incentivazione di 1’400 CHF se convertiranno i loro vecchi impianti.</t>
  </si>
  <si>
    <t>Verwaltungsaufwand allgemein</t>
  </si>
  <si>
    <t>Verwaltungsaufwand  Dossiers</t>
  </si>
  <si>
    <t>[CHF/Einheit]</t>
  </si>
  <si>
    <t>[CHF]</t>
  </si>
  <si>
    <t>Flankierende Massnahmen</t>
  </si>
  <si>
    <t>Fördermassnahmen</t>
  </si>
  <si>
    <t>Grobanalyse</t>
  </si>
  <si>
    <t>S</t>
  </si>
  <si>
    <t>[%]</t>
  </si>
  <si>
    <t>Beantragter ProKilowatt-Förderbeitrag</t>
  </si>
  <si>
    <t>Mittelwerte gewichtet</t>
  </si>
  <si>
    <t>Status Budget</t>
  </si>
  <si>
    <t>Status Finanzierung</t>
  </si>
  <si>
    <t>Fördermassnahmen für Zielkunden</t>
  </si>
  <si>
    <t>Kosten/ Einheit</t>
  </si>
  <si>
    <t>Schulungen, Weiterbildungskosten</t>
  </si>
  <si>
    <t>Bereitstellen von Eingabetools, etc.</t>
  </si>
  <si>
    <t>Notwendige Hilfsmittel für die Programmumsetzung (Eingabeplattformen, Erfassungsformulare, etc.)</t>
  </si>
  <si>
    <t>Kosten flankierende Massnahmen</t>
  </si>
  <si>
    <t xml:space="preserve">Programmmanagement </t>
  </si>
  <si>
    <t>Kontrolle</t>
  </si>
  <si>
    <t>Andere Geldgeber (Zielkunden)</t>
  </si>
  <si>
    <t>[kWh/Jahr]</t>
  </si>
  <si>
    <t>[kWh]</t>
  </si>
  <si>
    <t>Anrechenbare Nutzungsdauer (S. Beilage 4)</t>
  </si>
  <si>
    <t>-</t>
  </si>
  <si>
    <t>Status Einsparungen</t>
  </si>
  <si>
    <t>Gesamtkosten = induzierte gesamte Investitionen durch das Programm</t>
  </si>
  <si>
    <t>[1]</t>
  </si>
  <si>
    <t xml:space="preserve">Bei Betriebsoptimierungen sind die Massnahmen pro Gewerk auszuweisen. </t>
  </si>
  <si>
    <t>Bei den Kosten wird unterschieden zwischen Managementkosten (Verwaltung)- und Kosten für flankierende Massnahmen sowie eigentlichen Fördermassnahmen zu Handen der Zielkunden. Leere Felder werden mit 0 CHF ausgefüllt.</t>
  </si>
  <si>
    <t>Beratung</t>
  </si>
  <si>
    <t>Flankierende Massnahme 6</t>
  </si>
  <si>
    <t>Flankierende Massnahme 7</t>
  </si>
  <si>
    <t>Anteil Förderbeitrag an Gesamtinvesition</t>
  </si>
  <si>
    <t>Welches wäre der notwendige Förderbeitrag, um das Programm auf nationaler Ebene umzusetzen?</t>
  </si>
  <si>
    <t>Bemerkung(en)</t>
  </si>
  <si>
    <t>Kosten für das Programmmanagement (Aufwand der Programmträgerschaft)</t>
  </si>
  <si>
    <t>Verwaltungkosten (allgemein, Programmkonzept, etc.)</t>
  </si>
  <si>
    <t>Verwaltungskosten in Bezug auf die Zielkunden (in Abhängigkeit der Anzahl Dossiers, etc.)</t>
  </si>
  <si>
    <t>Kosten für Schulungen und Weiterbildungen sowie Informationsveranstaltungen</t>
  </si>
  <si>
    <t>Kosten für Beratungsleistungen</t>
  </si>
  <si>
    <t>Kosten für Kontrollmessungen (Monitoringen)</t>
  </si>
  <si>
    <t>Kosten für die zusätzlichen flankierenden Massnahmen</t>
  </si>
  <si>
    <t>Abschätzung des notwendigen Förderbeitrags, um das Programm schweizweit umzusetzen?</t>
  </si>
  <si>
    <t>Eigenleistungen (Arbeit) der Trägerschaft</t>
  </si>
  <si>
    <t>Eigenleistungen (Cash) der Trägerschaft</t>
  </si>
  <si>
    <t>Die Einsparungen sind für die einzelnen Fördermassnahmen separat auszuweisen.</t>
  </si>
  <si>
    <t>[kWh/an]</t>
  </si>
  <si>
    <t>[CHF/an]</t>
  </si>
  <si>
    <t>[Ct./kWh]</t>
  </si>
  <si>
    <t>[CHF/Jahr]</t>
  </si>
  <si>
    <t>[Rp/kWh]</t>
  </si>
  <si>
    <t>[Jahr(e) ]</t>
  </si>
  <si>
    <t>[an(s)]</t>
  </si>
  <si>
    <t>[kWh/anno]</t>
  </si>
  <si>
    <t>[CHF/anno]</t>
  </si>
  <si>
    <t>[Cent./kWh]</t>
  </si>
  <si>
    <t>[anno/anni]</t>
  </si>
  <si>
    <t>Stromverbrauch effiziente Lösung/ Einheit</t>
  </si>
  <si>
    <t xml:space="preserve">Die Wirkungsabschätzung zeigt den Referenzverbrauch / Einheit (Situation ohne Programm = aktuelle Situation oder Verbrauch einer Standardanlage)  sowie den Stromverbrauch der Situation mit der effizienten Lösung / Einheit (Situation mit Programm). Die Stromeinsparung pro Einheit wird berechnet.  </t>
  </si>
  <si>
    <t>Erwartete Stromeinsparung des Programms über die gesamte Nutzungsdauer in kWh und CHF</t>
  </si>
  <si>
    <t>Économies d'électricité attendues du programme sur toute la durée d'utilisation en kWh et en CHF</t>
  </si>
  <si>
    <t>Évolution de référence - Consommation sans programme sur toute la durée d'utilisation en kWh et en CHF</t>
  </si>
  <si>
    <t>Risparmio di energia elettrica previsto del programma per l'intera durata di utilizzo in kWh e CHF</t>
  </si>
  <si>
    <t>Evoluzione di riferimento del consumo senza programma per l'intera durata di utilizzo in kWh e CHF</t>
  </si>
  <si>
    <t>Anteil Managementkosten (Verwaltung)</t>
  </si>
  <si>
    <t>Anteil Fördermassnahmen</t>
  </si>
  <si>
    <t>Wirkungsabschätzung / Einsparungen</t>
  </si>
  <si>
    <t>Management-kosten (Verwaltung)</t>
  </si>
  <si>
    <t>Gesamt-investitions-kosten / Einheit</t>
  </si>
  <si>
    <t>Wirkungsabschätzung / Einsparungen der Fördermassnahmen</t>
  </si>
  <si>
    <t>Vorwiegend Finanzierung durch die Zielkunden</t>
  </si>
  <si>
    <t>Effizienzfaktor: Verhältnis der eingesetzten Mittel der "Wettbewerblichen Ausschreibungen" zu eingesparten kWh über gesamte Nutzungsdauer. 
Achtung: Zuschlag erhalten die Programme mit günstigstem Kosten/Nutzen Effekt nach Massgabe des Budgets. Dieser Parameter hat eine Gewichtung von 0.7.</t>
  </si>
  <si>
    <t>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t>
  </si>
  <si>
    <t>Fattore di efficienza: rapporto tra i mezzi impiegati delle gare pubbliche e i kWh risparmiati per la durata di utilizzo complessiva.  
Attenzione: ricevono l'aggiudicazione i programmi che presentano l'effetto costo/benefici più favorevole in rapporto al budget. Questo parametro ha una ponderazione dello 0.7.</t>
  </si>
  <si>
    <t>Die einzelnen Organisationen der Trägerschaft sind im Programmkonzept detailliert zu beschreiben.</t>
  </si>
  <si>
    <t>Le singole organizzazioni del ente responsabile devono essere dettagliate nel concetto del programma.</t>
  </si>
  <si>
    <t>Les organisations individuelles de l'organisme porteur doivent êtres décrites en détail dans le concept du programme.</t>
  </si>
  <si>
    <t>Akzeptanz und Bemerkungen</t>
  </si>
  <si>
    <t>Acceptation et remarques</t>
  </si>
  <si>
    <t>Consenso e osservazioni</t>
  </si>
  <si>
    <t>Type de programme</t>
  </si>
  <si>
    <t>Tipo di programma</t>
  </si>
  <si>
    <t>Art des Programms</t>
  </si>
  <si>
    <t xml:space="preserve">La valutazione dell'efficacia mostra lo scenario di riferimento  / unità (situazione senza programma = situazione attuale o il consumo di energia elettrica di un impianto standard) e il consumo di energgia elettrica della situazione con l'efficiente soluzione / unità (soluzine con il programma). Risparmio di energia elettrica par unità è calculato. </t>
  </si>
  <si>
    <t>Coûts relatifs à la gestion du programme (dépense de l'organisme porteur du programme)</t>
  </si>
  <si>
    <t>Costi per la gestione del programma (spesa dell'ente responsabile del programma)</t>
  </si>
  <si>
    <t>Prestations propres (travail) de l'organisme porteur</t>
  </si>
  <si>
    <t>Prestazioni proprie (lavoro) dell'ente responsabile</t>
  </si>
  <si>
    <t>Prestations propres (espèces) de l'organisme porteur</t>
  </si>
  <si>
    <t>Prestazioni proprie (cash) dell'ente responsabile</t>
  </si>
  <si>
    <t>Autres bailleurs de fonds (client cibles)</t>
  </si>
  <si>
    <t>Altri finanziatori (clienti target)</t>
  </si>
  <si>
    <t>Statut du budget</t>
  </si>
  <si>
    <t>Coût / unité</t>
  </si>
  <si>
    <t>[CHF / unité]</t>
  </si>
  <si>
    <t>Coûts de gestion (administration)</t>
  </si>
  <si>
    <t>Coût des mesures d'accompagnement</t>
  </si>
  <si>
    <t>Charges administratives des dossiers</t>
  </si>
  <si>
    <t>Mesures d'accompagnement</t>
  </si>
  <si>
    <t>Coûts de formation et de perfectionnement</t>
  </si>
  <si>
    <t>Conseils</t>
  </si>
  <si>
    <t>Mesures d'accompagnement 6</t>
  </si>
  <si>
    <t>Mesures d'accompagnement 7</t>
  </si>
  <si>
    <t>Total des coûts d'investissement / unité</t>
  </si>
  <si>
    <t>Part de la contribution financière à l'investissement total</t>
  </si>
  <si>
    <t>Mesures de soutien</t>
  </si>
  <si>
    <t>Analyse sommaire</t>
  </si>
  <si>
    <t>Mesures de soutien des clients cibles</t>
  </si>
  <si>
    <t>Moyennes pondérées</t>
  </si>
  <si>
    <t>Coût total = total des investissements induits par le programme</t>
  </si>
  <si>
    <t>Statut du financement</t>
  </si>
  <si>
    <t>Soutien demandé à ProKilowatt</t>
  </si>
  <si>
    <t>Quelle serait la contribution financière nécessaire à la mise en œuvre du programme au niveau national?</t>
  </si>
  <si>
    <t>Commentaire(s)</t>
  </si>
  <si>
    <t>Contrôle</t>
  </si>
  <si>
    <t>Coûts administratifs (général, conception du programme, etc)</t>
  </si>
  <si>
    <t>Coûts administratifs en relation avec les clients cibles (selon le nombre de fichiers, etc.)</t>
  </si>
  <si>
    <t>Coûts des services de conseil</t>
  </si>
  <si>
    <t>Outils nécessaires à la mise en œuvre du programme (plates-formes d'entrée, formulaires d'inscription, etc)</t>
  </si>
  <si>
    <t>Coûts des mesures de contrôle (monitoring)</t>
  </si>
  <si>
    <t>Coûts pour les mesures d'accompagnement supplémentaires</t>
  </si>
  <si>
    <t>Analyse des effets / économies</t>
  </si>
  <si>
    <t>Statut des économies</t>
  </si>
  <si>
    <t>Analyse des effets / économies des mesures de soutien</t>
  </si>
  <si>
    <t>Les économies sont présentées séparément pour les mesures de soutien individuelles.</t>
  </si>
  <si>
    <t>Durée de retour sur investissement par mesure avec moyens de soutien</t>
  </si>
  <si>
    <t>En cas d'optimisation de l'exploitation, les mesures par équipement doivent être indiquées.</t>
  </si>
  <si>
    <t>Part des coûts de gestion (administration)</t>
  </si>
  <si>
    <t xml:space="preserve">Part des mesures d'accompagnement </t>
  </si>
  <si>
    <t>Principalement financé par la clientèle cible</t>
  </si>
  <si>
    <t>Stato budget</t>
  </si>
  <si>
    <t>I costi sono distinti in costi di gestione (amministrazione), costi delle misure di incentivazione complementari e costi delle misure di incentivazione principali destinate ai clienti target. I campi vuoti vengono riempiti con 0 CHF.</t>
  </si>
  <si>
    <t>Costo / unità</t>
  </si>
  <si>
    <t>[CHF / unità]</t>
  </si>
  <si>
    <t>Costi di gestione (amministrazione)</t>
  </si>
  <si>
    <t>Costo delle misure complementari</t>
  </si>
  <si>
    <t>Spese amministrative generali</t>
  </si>
  <si>
    <t>Spese amministrative per le pratiche</t>
  </si>
  <si>
    <t>Misure complementari</t>
  </si>
  <si>
    <t>Costi di formazione e di perfezionamento</t>
  </si>
  <si>
    <t>Consulenza</t>
  </si>
  <si>
    <t>Messa a disposizione di strumenti di immissione, ecc.</t>
  </si>
  <si>
    <t>Misura complementare 6</t>
  </si>
  <si>
    <t>Misura complementare 7</t>
  </si>
  <si>
    <t>Costo di investimento totale / unità</t>
  </si>
  <si>
    <t>Quota del contributo di incentivazione sull’investimento totale</t>
  </si>
  <si>
    <t xml:space="preserve">Misure di incentivazione </t>
  </si>
  <si>
    <t>Analisi approssimativa</t>
  </si>
  <si>
    <t>Misure di incentivazione per i clienti target</t>
  </si>
  <si>
    <t>Medie ponderate</t>
  </si>
  <si>
    <t>Costo totale = totale degli investimenti indotti dal programma</t>
  </si>
  <si>
    <t>Stato finanziamento</t>
  </si>
  <si>
    <t>Contributo di incentivazione ProKilowatt richiesto</t>
  </si>
  <si>
    <t>Quale contributo di incentivazione sarebbe necessario per attuare il programma a livello nazionale?</t>
  </si>
  <si>
    <t>Osservazione(i)</t>
  </si>
  <si>
    <t>Controllo</t>
  </si>
  <si>
    <t>Spese amministrative (gestione generale, concezione del programma, ecc.)</t>
  </si>
  <si>
    <t>Spese amministrative connesse ai clienti target (a seconda del numero di pratiche, ecc.)</t>
  </si>
  <si>
    <t>Costi per la formazione, il perfezionamento e gli eventi informativi.</t>
  </si>
  <si>
    <t>Costi per servizi di consulenza</t>
  </si>
  <si>
    <t>Strumenti necessari per l'attuazione del programma (piattaforme d’immissione dati, moduli di registrazione, ecc.)</t>
  </si>
  <si>
    <t>Costi per misurazioni di controllo (monitoraggio)</t>
  </si>
  <si>
    <t>Costi per misure complementari aggiuntive</t>
  </si>
  <si>
    <t>Stima del contributo di incentivazione necessario per attuare il programma in Svizzera?</t>
  </si>
  <si>
    <t>Valutazione dell'efficacia / risparmi</t>
  </si>
  <si>
    <t>Stato risparmi</t>
  </si>
  <si>
    <t>Valutazione dell'efficacia / risparmi delle misure di incentivazione</t>
  </si>
  <si>
    <t>I risparmi vanno indicati separatamente per le singole misure di incentivazione.</t>
  </si>
  <si>
    <t>Durata di utilizzo computabile (cfr. allegato 4)</t>
  </si>
  <si>
    <t>Periodo di payback per ogni misura con i mezzi di incentivazione</t>
  </si>
  <si>
    <t>In caso di ottimizzazione del funzionamento le misure devono essere indicate per impianto.</t>
  </si>
  <si>
    <t xml:space="preserve">Quota dei costi di gestione (amministrazione) </t>
  </si>
  <si>
    <t>Quota delle misure di incentivazione</t>
  </si>
  <si>
    <t>La struttura della richiesta da presentare per il programma comprende i capitoli previsti dal modello del concetto del programma.</t>
  </si>
  <si>
    <t>Contributi ricevuti "a fondo perso" (cantone, comuni, fondazioni, aziende elettriche, ecc.)</t>
  </si>
  <si>
    <t>Principalmente finanziato dai clienti target</t>
  </si>
  <si>
    <t>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t>
  </si>
  <si>
    <t>Charges liées à l'administration générale du programme</t>
  </si>
  <si>
    <t>Mise à disposition des outils de saisie, etc.</t>
  </si>
  <si>
    <t>La distinction des coûts est faite entre les coûts de gestion (administration), les coûts des mesures d'accompagnement et celui des mesures de soutien particulières à l'attention des clients cibles. Les champs vides sont remplis avec 0 CHF.</t>
  </si>
  <si>
    <t>Coûts de formation, de perfectionnement et de manifestations d'information</t>
  </si>
  <si>
    <t>Estimation de la contribution financière nécessaire à la mise en œuvre du programme sur toute la Suisse?</t>
  </si>
  <si>
    <t>Programma settoriale Pompe di circolazione nell’ambito di industria, artigianato e servizi</t>
  </si>
  <si>
    <t>La structure de la demande du programme prévu comprend les chapitres indiqués dans le modèle de concept de programme.</t>
  </si>
  <si>
    <t>Erhaltene "a fonds perdu" Beiträge (Kanton, Gemeinden, Stiftungen, EVU etc.)</t>
  </si>
  <si>
    <t>Contributions " à fonds perdus " reçues (canton, communes, fondations, SI, etc.)</t>
  </si>
  <si>
    <t>- Das Antragsformular ist komplett ausgefüllt. Der Antrag wird zusammen mit dem Programmkonzept und allfälligen weiteren Dokumenten auf das ProKilowatt Eingabeportal geladen und so an die Geschäftsstelle ProKilowatt übermittelt.</t>
  </si>
  <si>
    <t>- Le formulaire de demande est complètement rempli. La demande va être chargée avec le concept du programme et tous les autres documents sur le portail de soumission et transmise au Bureau ProKilowatt.</t>
  </si>
  <si>
    <t>Anrechenbare Strom-einsparung insgesamt über Nutzungsdauer</t>
  </si>
  <si>
    <t>Économies d'électricité imputables sur la durée d'utilisation</t>
  </si>
  <si>
    <t>Risparmio di energia elettrica computabile complessivo per la durata di utilizzo</t>
  </si>
  <si>
    <t>Payback-Zeit des Programms (ohne Fördermittel)</t>
  </si>
  <si>
    <t>Durée de retour sur investissement du programme (sans moyens de soutien engagés)</t>
  </si>
  <si>
    <t>Periodo di payback del programma (senza mezzi per l'incentivazione impiegati)</t>
  </si>
  <si>
    <t>Anrechenbare Strom-einsparung insgesamt pro Jahr</t>
  </si>
  <si>
    <t>Risparmio di energia elettrica computabile totale all'anno</t>
  </si>
  <si>
    <t>Payback pro Massnahme mit Fördermittel</t>
  </si>
  <si>
    <t>Reduktions-faktor 
für natürliche Erneuerungs-rate</t>
  </si>
  <si>
    <t>Facteur de réduction 
pour taux de remplacement naturel</t>
  </si>
  <si>
    <t>Fattore di riduzione 
per rata della sostituzione naturale</t>
  </si>
  <si>
    <t>Ø Entwicklung in kWh/Jahr pro Einheit (Mittelwert)</t>
  </si>
  <si>
    <t>Stromverbrauch insgesamt ohne Programm</t>
  </si>
  <si>
    <t>Consommation d'électricité totale sans programme</t>
  </si>
  <si>
    <t>Stromverbrauch insgesamt mit Programm</t>
  </si>
  <si>
    <t>Consommation d'électricité totale avec le programme</t>
  </si>
  <si>
    <t>Ø Évolution en kWh/an par unité (moyenne)</t>
  </si>
  <si>
    <t>Ø Evoluzione in kWh/anno per unità (medie)</t>
  </si>
  <si>
    <t>Consumo di elettricità complessivo senza programma</t>
  </si>
  <si>
    <t>Consumo di elettricità complessivo con programma</t>
  </si>
  <si>
    <t>Ø Économie d'électricité en kWh/an</t>
  </si>
  <si>
    <t>Ø Risparmi di energia elettrica in kWh/anno</t>
  </si>
  <si>
    <t>Anteil Managementkosten und Kosten für flankierende Massnahmen</t>
  </si>
  <si>
    <t>Anteil Managementkosten und Kosten für flankierende Massnahmen an Gesamtkosten</t>
  </si>
  <si>
    <t>Anteil Managementkosten und Kosten für flankierende Massnahmen an Gesamtkosten ohne Kosten der Zielkunden</t>
  </si>
  <si>
    <t>Part des coûts de gestion et coûts des mesures d'accompagnement aux coûts totaux</t>
  </si>
  <si>
    <t>Part des coûts de gestion et coûts des mesures d'accompagnement aux coûts totaux sans les coûts des clients cibles</t>
  </si>
  <si>
    <t>Quota dei costi di gestione e costi per le misure complementari a costi totali</t>
  </si>
  <si>
    <t>Quota dei costi di gestione e costi per le misure complementari a costi totali senza gli costi di clienti target</t>
  </si>
  <si>
    <t>Part des coûts de gestion et coûts des mesures d'accompagnement</t>
  </si>
  <si>
    <t>Quota dei costi di gestione e costi per le misure complementari</t>
  </si>
  <si>
    <t>Kosten Verwaltung + flankierend</t>
  </si>
  <si>
    <t>Minimal</t>
  </si>
  <si>
    <t>Maximal</t>
  </si>
  <si>
    <t>Anteil ProKilowatt Förderbeitrag an Gesamtkosten ohne Kosten der Zielkunden</t>
  </si>
  <si>
    <t>Part de contribution de soutien ProKilowatt aux coûts totaux sans les coûts des clients cibles</t>
  </si>
  <si>
    <t>Quota dei contributo di incentivazione ProKilowatt a costi totali senza gli costi di clienti target</t>
  </si>
  <si>
    <t>Économies d'électricité imputables totales par an</t>
  </si>
  <si>
    <t>Die Struktur der zu erstellenden Programmeingabe enthält die Kapitel gemäss Vorlage Programmkonzept</t>
  </si>
  <si>
    <t>- Il formulario di proposta deve essere compilato in ogni sua parte. La proposta deve essere caricata unitamente al concetto del programma e agli altri documenti sulla portale online e trasmessa all'Organo indipendente ProKilowatt.</t>
  </si>
  <si>
    <t>Durée de retour sur investissement du programme (avec moyens de soutien engagés)</t>
  </si>
  <si>
    <t>Payback-Zeit des Programms (mit Fördermittel)</t>
  </si>
  <si>
    <t>Periodo di payback del programma (con i mezzi per l'incentivazione impiegati)</t>
  </si>
  <si>
    <t>Alle Ersatzmassnahmen von Umwälzpumpen haben einen Reduktionsfaktor von 0.67 = 1 - 0.33 (Siehe Bedingungen für die Einreichung von Projekten und Programmen 2015 , Kap. 4.1). Alle übrigen Massnahmen haben einen Reduktionsfaktor von 1.00.</t>
  </si>
  <si>
    <t>Toutes les mesures de remplacement des pompes de circulation ont un facteur de réduction de 0,67 = 1 - 0.33 (voir les conditions pour la soumission des projets et programmes en 2015, chap. 4.1). Toutes les autres mesures ont un facteur de réduction de 1,00.</t>
  </si>
  <si>
    <t>Tutte le misure sostitutive per le pompe di circolazione hanno un fattore di riduzione di 0.67 = 1 - 0.33 (cfr. condizioni per la presentazione di progetti e programmi 2015, cap. 4.1). Tutte le altre misure hanno un fattore di riduzione di 1.00.</t>
  </si>
  <si>
    <t>Durée d'utilisation imputable (cf annexe 4)</t>
  </si>
  <si>
    <r>
      <t xml:space="preserve">Zelle I38 muss </t>
    </r>
    <r>
      <rPr>
        <b/>
        <sz val="12"/>
        <rFont val="Calibri"/>
        <family val="2"/>
      </rPr>
      <t>≥</t>
    </r>
    <r>
      <rPr>
        <b/>
        <sz val="12"/>
        <rFont val="Arial"/>
        <family val="2"/>
      </rPr>
      <t xml:space="preserve"> 15 % sein. Die Endkunden müssen im Schnitt einen Förderbeitrag pro Pumpe von mindestens 15% der Kosten erhalten (Siehe Bedingungen für die Einreichung von Projekten und Programmen 2015 , Kap. 4.1).</t>
    </r>
  </si>
  <si>
    <t>La cellule I38 doit être ≥  15%. Les clients finaux doivent recevoir une contribution de soutien par pompe à 15% ou plus des coûts totaux (voir les conditions pour la soumission des projets et programmes en 2015, chap. 4.1).</t>
  </si>
  <si>
    <t>I38 cella deve essere ≥ 15%. I clienti finali devono ricevere un contributo di promozione per pompa di oltre come minimo il 15 per cento (in media) dei costi totali (cfr. condizioni per la presentazione di progetti e programmi 2015, cap. 4.1).</t>
  </si>
  <si>
    <t>Anteil Förderbeitrag an Investionen der Zielkunden (Mittelwert gewichtet)</t>
  </si>
  <si>
    <t>Part des contributions de soutien aux investissements des clients cibles ('Moyenne pondérée)</t>
  </si>
  <si>
    <t>Quota del contributo di incentivazione per gli investimenti dei clienti target (Media ponderata)</t>
  </si>
  <si>
    <t>Beantragter Förderbeitrag. Minimaler Beitrag CHF 150'000.-. Maximaler Beitrag 3 Mio CHF.</t>
  </si>
  <si>
    <t>Contributo richiesto dalle gare pubbliche. Importo minimo CHF 150'000.-. Importo massimo 3 mln. CHF.</t>
  </si>
  <si>
    <t>Contribution sollicitée dans le cadre des appels d'offres publics. Contribution minimale CHF 150'000. Contribution maximale CHF 3 million.</t>
  </si>
  <si>
    <t>Erläuterung der Grundlagen für die ex-ante Wirkungsabschätzung (Mengenmodelle, Verbrauch, Leistung und Nutzungsdauer, Erneuerungsrate) gemäss den Bedingungen für die Einreichung von
Projekten und Programmen 2015, Kapitel 3.2. 
Erstellen einer Beilage mit allen relevanten Informationen zur Wirkungsabschätzung des Programms.</t>
  </si>
  <si>
    <t>Spiegare i fondamenti della valutazione dell'efficacia ex ante (modelli quantitativi, consumo, prestazione e durata di utilizzo, tasso di rinnovamento) secondo di condizioni per la presentazione di progetti e programmi 2015, cap. 3.2. 
Creazione di un allegato con tutte le informazioni rilevanti ai fini della valutazione dell'efficacia del programma.</t>
  </si>
  <si>
    <t>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t>
  </si>
  <si>
    <t>Aufzeigen, wie die vorgängig definierte Referenzentwicklung überprüft wird und bei Bedarf die wichtigsten Annahmen (z.B. zu Mengenparameter, zur technischen Entwicklung oder zum Verhalten der Endkunden) angepasst werden (siehe  Bedingungen für die Einreichung von Projekten und Programmen 2015, Kapitel 3.2) (allenfalls Vermerk auf Beilage).</t>
  </si>
  <si>
    <t>Mostrare in che modo sarà controllata l'evoluzione di riferimento definita preliminarmente e come vengono adattate, all'occorrenza, le principali ipotesi (per esempio in relazione a parametri quantitativi, all'evoluzione tecnica o al comportamento dei clienti finali). Cfr. condizioni per la presentazione di progetti e programmi 2015, cap. 3.2 (eventualmente fare rimando all'allegato).</t>
  </si>
  <si>
    <t>Programme sectoriel des pompes de circulation dans l'industrie, l'artisanat et les services</t>
  </si>
  <si>
    <t>Pas de programme sectoriel</t>
  </si>
  <si>
    <t>Kein sektorspezifisches Programm</t>
  </si>
  <si>
    <t>Sektorspezisches Programm Umwälzpumpen Industrie, Gewerbe und Dienstleistung</t>
  </si>
  <si>
    <t>Nessun programma settoriale</t>
  </si>
  <si>
    <t>Ø Tarif de l'électricité (TVA incluse)</t>
  </si>
  <si>
    <t>Durée du programme (en mois) comprise entre 12 et 36 mois</t>
  </si>
  <si>
    <t>Contribution de Prokilowatt TVA incluse</t>
  </si>
  <si>
    <t xml:space="preserve">Chaudières </t>
  </si>
  <si>
    <t>Industrie</t>
  </si>
  <si>
    <t>Séchoirs</t>
  </si>
  <si>
    <t>Artisanat</t>
  </si>
  <si>
    <t>Chauffe-eau à pompe à chaleur</t>
  </si>
  <si>
    <t>Commerce</t>
  </si>
  <si>
    <t>Chauffage à induction</t>
  </si>
  <si>
    <t>Agriculture</t>
  </si>
  <si>
    <t>Convertisseurs de fréquence</t>
  </si>
  <si>
    <t>Ménages</t>
  </si>
  <si>
    <t xml:space="preserve">Systèmes à vide </t>
  </si>
  <si>
    <t xml:space="preserve">Systèmes à vide avec convertisseur de fréquence </t>
  </si>
  <si>
    <t>Systèmes à pompes</t>
  </si>
  <si>
    <t>Systèmes à pompes avec convertisseur de fréquence</t>
  </si>
  <si>
    <t>Systèmes de ventilation</t>
  </si>
  <si>
    <t>Systèmes de ventilation avec convertisseur de fréquence</t>
  </si>
  <si>
    <t>Installations de réfrigération (climatisation)</t>
  </si>
  <si>
    <t>Compresseurs (à injection d'huile)</t>
  </si>
  <si>
    <t>Ascenseurs et escaliers roulants</t>
  </si>
  <si>
    <t>Systèmes d'alimentation électrique sans coupure</t>
  </si>
  <si>
    <t>Installations à redressesur de courant</t>
  </si>
  <si>
    <t>Installations ORC pour autoproduction de courant</t>
  </si>
  <si>
    <t>Installations à expansion de gaz pour autoproduction de courant</t>
  </si>
  <si>
    <t>Transformateurs</t>
  </si>
  <si>
    <t>Eclairage d'intérieur (halles)</t>
  </si>
  <si>
    <t>Eclairage d'intérieur (bureaux)</t>
  </si>
  <si>
    <t>Eclairage d'intérieur (locaux de vente)</t>
  </si>
  <si>
    <t>Eclairage d'intérieur (autres)</t>
  </si>
  <si>
    <t>Eclairage d'intérieur (bâtiments résidentiels)</t>
  </si>
  <si>
    <t>Eclairage extérieur (routes et surfaces de circulation)</t>
  </si>
  <si>
    <t>Eclairage extérieur (tunnels)</t>
  </si>
  <si>
    <t>Autres technologies</t>
  </si>
  <si>
    <t>Pompes de circulation (à rotor noyé) pour chauffages</t>
  </si>
  <si>
    <t xml:space="preserve">Installations de réfrigération (processus) </t>
  </si>
  <si>
    <t xml:space="preserve">Compresseurs (sans huile) </t>
  </si>
  <si>
    <t>Compresseurs (sans huile)  avec convertisseur de fréquence</t>
  </si>
  <si>
    <t>Compresseurs (à injection d'huile)avec convertisseur de fréquence</t>
  </si>
  <si>
    <t xml:space="preserve">Öfen </t>
  </si>
  <si>
    <t>Trockner</t>
  </si>
  <si>
    <t>Induktionserwärmer</t>
  </si>
  <si>
    <t xml:space="preserve">Elektromotoren </t>
  </si>
  <si>
    <t xml:space="preserve">Frequenz-Umrichter </t>
  </si>
  <si>
    <t>Vakuumsysteme</t>
  </si>
  <si>
    <t xml:space="preserve">Vakkumsysteme mit Frequenz-Umrichter </t>
  </si>
  <si>
    <t xml:space="preserve">Pumpensysteme </t>
  </si>
  <si>
    <t>Pumpensysteme mit Frequenz-Umrichter</t>
  </si>
  <si>
    <t xml:space="preserve">Ventilatorensysteme </t>
  </si>
  <si>
    <t>Ventilatorensysteme mit Frequenz-Umrichter</t>
  </si>
  <si>
    <t xml:space="preserve">Kälteanlagen (Klima) </t>
  </si>
  <si>
    <t xml:space="preserve">Kälteanlagen (Prozess) </t>
  </si>
  <si>
    <t>Druckluftkompressoren (ölfrei)</t>
  </si>
  <si>
    <t>Aufzüge und Fahrtreppen</t>
  </si>
  <si>
    <t>Unterbrechungsfreie Stromversorgung</t>
  </si>
  <si>
    <t xml:space="preserve">Gleichrichteranlagen </t>
  </si>
  <si>
    <t>ORC-Anlagen zur Eigenstromerzeugung</t>
  </si>
  <si>
    <t>Gas-Expansionsanlagen zur Eigenstromerzeugung</t>
  </si>
  <si>
    <t>Transformatoren</t>
  </si>
  <si>
    <t>Innenbeleuchtung (Hallen)</t>
  </si>
  <si>
    <t>Innenbeleuchtung (Büro)</t>
  </si>
  <si>
    <t>Innenbeleuchtung (Verkaufsflächen)</t>
  </si>
  <si>
    <t>Innenbeleuchtung (Sonstige)</t>
  </si>
  <si>
    <t>Innenbeleuchtung (Wohngebäude)</t>
  </si>
  <si>
    <t>Aussenbeleuchtung (Strassen und Verkehrsflächen)</t>
  </si>
  <si>
    <t>Aussenbeleuchtung (Tunnel)</t>
  </si>
  <si>
    <t xml:space="preserve">Architekturbeleuchtung </t>
  </si>
  <si>
    <t>Sonstige Technologie</t>
  </si>
  <si>
    <t xml:space="preserve">Wärmepumpenboiler </t>
  </si>
  <si>
    <t>Heizungsumwälzpumpen (Nassläufer)</t>
  </si>
  <si>
    <t>Druckluftkompressoren (ölfrei)  mit Frequenzumrichter</t>
  </si>
  <si>
    <t xml:space="preserve">Druckluftkompressoren (öleingespritzt) </t>
  </si>
  <si>
    <t>Druckluftkompressoren (öleingespritzt)mit Frequenzumrichter</t>
  </si>
  <si>
    <t>Type de technologie</t>
  </si>
  <si>
    <t>Technologie typ</t>
  </si>
  <si>
    <t>Eclairage extérieur (bâtiments)</t>
  </si>
  <si>
    <t>Explication de l'orientation géographique. La liste complète des communes participantes doit être fournie à la demande en annexe.</t>
  </si>
  <si>
    <t>Gewerbe</t>
  </si>
  <si>
    <t>Handel (KMU)</t>
  </si>
  <si>
    <t>Landwirtschaft</t>
  </si>
  <si>
    <t>Haushalte</t>
  </si>
  <si>
    <t xml:space="preserve">Forni </t>
  </si>
  <si>
    <t>Essiccatori</t>
  </si>
  <si>
    <t xml:space="preserve">Boiler a pompa di calore </t>
  </si>
  <si>
    <t>Riscaldatori a induzione</t>
  </si>
  <si>
    <t xml:space="preserve">Motori elettrici </t>
  </si>
  <si>
    <t xml:space="preserve">Convertitori di frequenza </t>
  </si>
  <si>
    <t>Sistemi a vuoto</t>
  </si>
  <si>
    <t xml:space="preserve">Sistemi a vuoto con convertitore di frequenza </t>
  </si>
  <si>
    <t xml:space="preserve">Sistemi a pompa </t>
  </si>
  <si>
    <t>Sistemi a pompa con convertitore di frequenza</t>
  </si>
  <si>
    <t>Pompe di circolazione (con rotore bagnato) per sistemi di riscaldamento</t>
  </si>
  <si>
    <t xml:space="preserve">Sistemi di ventilazione </t>
  </si>
  <si>
    <t>Sistemi di ventilazione con convertitore di frequenza</t>
  </si>
  <si>
    <t xml:space="preserve">Impianti di refrigerazione (climatizzazione) </t>
  </si>
  <si>
    <t xml:space="preserve">Impianti di refrigerazione (processo) </t>
  </si>
  <si>
    <t>Compressori (senza olio)</t>
  </si>
  <si>
    <t>Compressori (senza olio) con convertitore di frequenza</t>
  </si>
  <si>
    <t xml:space="preserve">Compressori (a iniezione di olio) </t>
  </si>
  <si>
    <t>Compressori (a iniezione di olio) con convertitore di frequenza</t>
  </si>
  <si>
    <t>Ascensori e scale mobili</t>
  </si>
  <si>
    <t>Gruppi di continuità (UPS)</t>
  </si>
  <si>
    <t xml:space="preserve">Raddrizzatori </t>
  </si>
  <si>
    <t>Impianti ORC per la produzione in proprio di energia elettrica</t>
  </si>
  <si>
    <t>Impianti per l'espansione di gas per la produzione in proprio di energia elettrica</t>
  </si>
  <si>
    <t>Trasformatori</t>
  </si>
  <si>
    <t>Illuminazione interna (capannoni)</t>
  </si>
  <si>
    <t>Illuminazione interna (uffici)</t>
  </si>
  <si>
    <t>Illuminazione interna (superfici di vendita)</t>
  </si>
  <si>
    <t>Illuminazione interna (altro)</t>
  </si>
  <si>
    <t>Illuminazione interna (edifici residenziali)</t>
  </si>
  <si>
    <t>Illuminazione esterna (strade e superfici di circolazione)</t>
  </si>
  <si>
    <t>Illuminazione esterna (gallerie)</t>
  </si>
  <si>
    <t xml:space="preserve">Illuminazione esterna (opere architettoniche) </t>
  </si>
  <si>
    <t>Altre tecnologie</t>
  </si>
  <si>
    <t xml:space="preserve">Tecnologie </t>
  </si>
  <si>
    <t>Industria</t>
  </si>
  <si>
    <t>Artigianato</t>
  </si>
  <si>
    <t>Commercio (PMI)</t>
  </si>
  <si>
    <t>Agricoltura</t>
  </si>
  <si>
    <t>Economie domestiche</t>
  </si>
  <si>
    <t>Programmdauer (Monate) zwischen 12 und 36 Monaten</t>
  </si>
  <si>
    <t>Durata del programma (mesi) compresa tra 12 e 36 mesi</t>
  </si>
  <si>
    <t>Ø Stromtarif (MWST inkl)</t>
  </si>
  <si>
    <t>Ø Tariffa dell'elettricità (IVA inclusa)</t>
  </si>
  <si>
    <t>Prokilowatt Förderbeitrag (MWST inkl.)</t>
  </si>
  <si>
    <t>Contributo di incentivazione Prokilowatt (IVA inclusa)</t>
  </si>
  <si>
    <t>Contribution sollicitée dans le cadre des appels d'offres publics. Contribution minimale CHF 150'000. Contribution maximale CHF 3 million</t>
  </si>
  <si>
    <t>Contributo richiesto dalle gare pubbliche. Importo minimo CHF 150'000.-.  Importo massimo 3 mln. CHF.</t>
  </si>
  <si>
    <t>Programme</t>
  </si>
  <si>
    <t xml:space="preserve">Programme </t>
  </si>
  <si>
    <t>Programma</t>
  </si>
  <si>
    <t>Ecrire le titre de la mesure de soutien 1</t>
  </si>
  <si>
    <t>Ecrire le titre de la mesure de soutien 2</t>
  </si>
  <si>
    <t>Ecrire le titre de la mesure de soutien 3</t>
  </si>
  <si>
    <t>Ecrire le titre de la mesure de soutien 4</t>
  </si>
  <si>
    <t>Ecrire le titre de la mesure de soutien 5</t>
  </si>
  <si>
    <t>Ecrire le titre de la mesure de soutien 6</t>
  </si>
  <si>
    <t>Ecrire le titre de la mesure de soutien 7</t>
  </si>
  <si>
    <t>Ecrire le titre de la mesure de soutien 8</t>
  </si>
  <si>
    <t>Schreiben Sie die Titel Fördermassnahme 1</t>
  </si>
  <si>
    <t>Schreiben Sie die Titel Fördermassnahme 2</t>
  </si>
  <si>
    <t>Schreiben Sie die Titel Fördermassnahme 3</t>
  </si>
  <si>
    <t>Schreiben Sie die Titel Fördermassnahme 4</t>
  </si>
  <si>
    <t>Schreiben Sie die Titel Fördermassnahme 5</t>
  </si>
  <si>
    <t>Schreiben Sie die Titel Fördermassnahme 6</t>
  </si>
  <si>
    <t>Schreiben Sie die Titel Fördermassnahme 7</t>
  </si>
  <si>
    <t>Schreiben Sie die Titel Fördermassnahme 8</t>
  </si>
  <si>
    <t>Scrivere la titolo della misura di incentivazione 1</t>
  </si>
  <si>
    <t>Scrivere la titolo della misura di incentivazione 2</t>
  </si>
  <si>
    <t>Scrivere la titolo della misura di incentivazione 3</t>
  </si>
  <si>
    <t>Scrivere la titolo della misura di incentivazione 4</t>
  </si>
  <si>
    <t>Scrivere la titolo della misura di incentivazione 5</t>
  </si>
  <si>
    <t>Scrivere la titolo della misura di incentivazione 6</t>
  </si>
  <si>
    <t>Scrivere la titolo della misura di incentivazione 7</t>
  </si>
  <si>
    <t>Scrivere la titolo della misura di incentivazione 8</t>
  </si>
  <si>
    <t>Industrie (KMU)</t>
  </si>
  <si>
    <t>Gewerbe (KMU)</t>
  </si>
  <si>
    <t>Handel</t>
  </si>
  <si>
    <t>Dienstleistungen (KMU)</t>
  </si>
  <si>
    <t>Landwirtschaft (KMU)</t>
  </si>
  <si>
    <t>La cellule S21 ne doit pas dépasser 20% du montant de la contribution ProKilowatt demandée (voir les conditions pour la soumission des projets et programmes en 2016, chap. 4.7).</t>
  </si>
  <si>
    <t>Zelle S21 darf maximal 20 % des beantragten ProKilowatt-Förderbeitrages betragen (siehe Bedingungen für die Einreichung von Projekten und Programmen 2016 , Kap. 4.7).</t>
  </si>
  <si>
    <t>Il valore della cella S21 non deve superare il 20% del contributo di incentivazione ProKilowatt-richiesto (cfr. condizioni per la presentazione di progetti e programmi 2016, cap. 4.7).</t>
  </si>
  <si>
    <t>Industrie (PME)</t>
  </si>
  <si>
    <t>Artisanat (PME)</t>
  </si>
  <si>
    <t>Commerce (PME)</t>
  </si>
  <si>
    <t>Services (PME)</t>
  </si>
  <si>
    <t>Agriculture (PME)</t>
  </si>
  <si>
    <t>Industria (PMI)</t>
  </si>
  <si>
    <t>Artigianato (PMI)</t>
  </si>
  <si>
    <t>Commercio</t>
  </si>
  <si>
    <t>Servizi  (PMI)</t>
  </si>
  <si>
    <t>Agricultura (PMI)</t>
  </si>
  <si>
    <t>Durée de vie standard (WeA 2016)</t>
  </si>
  <si>
    <t>Chaudières &gt; 50 kW</t>
  </si>
  <si>
    <t>Illuminazione esterna (opere architettoniche)</t>
  </si>
  <si>
    <t>Séchoirs &lt; 50 kW</t>
  </si>
  <si>
    <t>Séchoirs ≥ 50 kW</t>
  </si>
  <si>
    <t>Chauffe-eau à pompe à chaleur &gt;300 litres</t>
  </si>
  <si>
    <t>Chauffe-eau à pompe à chaleur ≤ 300 litres</t>
  </si>
  <si>
    <t>Moteurs électriques &lt;20 kW</t>
  </si>
  <si>
    <t>Elektromotoren &lt;20 kW</t>
  </si>
  <si>
    <t xml:space="preserve">Sistemi a vuoto </t>
  </si>
  <si>
    <t xml:space="preserve">Sistemi a pompa con convertitore di frequenza </t>
  </si>
  <si>
    <t xml:space="preserve">Pompe di circolazione (con rotore bagnato) per sistemi di riscaldamento </t>
  </si>
  <si>
    <t xml:space="preserve">Sistemi di ventilazione con convertitore di frequenza </t>
  </si>
  <si>
    <t>Sistemi di ventilazione</t>
  </si>
  <si>
    <t>Impianti di refrigerazione (processo)</t>
  </si>
  <si>
    <t xml:space="preserve">Compressori (senza olio) </t>
  </si>
  <si>
    <t>Compressori (a iniezione di olio)</t>
  </si>
  <si>
    <t>Compressori (a iniezione di olio) kW con convertitore di frequenza</t>
  </si>
  <si>
    <t>Motori elettrici &lt; 20 kW</t>
  </si>
  <si>
    <t>Technologies</t>
  </si>
  <si>
    <t>Electrothermie</t>
  </si>
  <si>
    <t>Systèmes moteurs</t>
  </si>
  <si>
    <t>Systèmes de conversion</t>
  </si>
  <si>
    <t>Eclairage</t>
  </si>
  <si>
    <t>Programme de mise aux enchères de projets</t>
  </si>
  <si>
    <t>Programm mit Projektauktionen</t>
  </si>
  <si>
    <t>Programma per l'esecuuione di aste die progetti</t>
  </si>
  <si>
    <t>Les mesures avec un retour sur investissement sans moyens de soutien &lt; 4 ans peuvent être comptabilisées dans les économies, toutefois des contributions de soutien ne peuvent pas être payées.</t>
  </si>
  <si>
    <t>Massnahmen mit einem Payback ohne FM &lt; 4 Jahr dürfen als Einsparung angerechnet werden, jedoch dürfen nicht noch Förderbeiträge ausbezahlt werden.</t>
  </si>
  <si>
    <t>Misure con un payback senza mezzi di incentivazione &lt; 4 anni possono essere considerate come risparmio, tuttavia non possono essere versati in aggiunta contributi di incentivazione.</t>
  </si>
  <si>
    <t>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t>
  </si>
  <si>
    <t>Installations à redressesur de courant ≥ 50 kW</t>
  </si>
  <si>
    <t>Gleichrichteranlagen ≥ 50 kW</t>
  </si>
  <si>
    <t>Raddrizzatori ≥ 50 kW</t>
  </si>
  <si>
    <t>Installations à redresseur de courant &lt; 50 kW</t>
  </si>
  <si>
    <t>Gleichrichteranlagen &lt; 50 kW</t>
  </si>
  <si>
    <t>Raddrizzatori &lt; 50 kW</t>
  </si>
  <si>
    <t>S'il s'agit du programme ou un programme sectoriel il faut chosir le type correct.</t>
  </si>
  <si>
    <t>Falls es sich um ein Programm  bzw. ein sektorspezifisches Programm handelt muss dies speziell ausgewählt werden.</t>
  </si>
  <si>
    <t>Se si tratta di un programma o di un programma settoriale bisogna selezionare il programma specifico.</t>
  </si>
  <si>
    <t>Consommation éléctrique de l’ancienne installation / unité</t>
  </si>
  <si>
    <t>Stromverbrauch bestehende Anlage / Einheit</t>
  </si>
  <si>
    <t>Consumo di elettricità del vecchio impianto /unità</t>
  </si>
  <si>
    <t>Consommation éléctrique de l’ancienne installation / total</t>
  </si>
  <si>
    <t>Stromverbrauch bestehende Anlage / insgesamt</t>
  </si>
  <si>
    <t>Consumo di elettricità del vecchio impianto / totale</t>
  </si>
  <si>
    <t>Consommation électrique de la nouvelle installation/ unité</t>
  </si>
  <si>
    <t>Stromverbrauch neue Anlage/ Einheit</t>
  </si>
  <si>
    <t>Consumo di elettricità del nuovo impianto / unità</t>
  </si>
  <si>
    <t>Consommation électrique de la nouvelle installation/ total</t>
  </si>
  <si>
    <t>Stromverbrauch neue Anlage/ insgesamt</t>
  </si>
  <si>
    <t>Consumo di elettricità del nuovo impianto / totale</t>
  </si>
  <si>
    <t>Données</t>
  </si>
  <si>
    <t>Kennzahlen</t>
  </si>
  <si>
    <t>Indici</t>
  </si>
  <si>
    <t>Consommation électrique sans programme</t>
  </si>
  <si>
    <t>Consumo di elettricità senza programma</t>
  </si>
  <si>
    <t>Stromverbrauch ohne Programm</t>
  </si>
  <si>
    <t>Secteur</t>
  </si>
  <si>
    <t>Sektor</t>
  </si>
  <si>
    <t>Settore</t>
  </si>
  <si>
    <r>
      <t xml:space="preserve">Costi per l'attuazione delle misure complementari 1-8 (Obbligo di descriverli nel concetto del programma al capitolo 2.1.3 Misure). In caso di ottimizzazione del funzionamento le misure devono essere indicate per impianto. 
</t>
    </r>
    <r>
      <rPr>
        <b/>
        <sz val="12"/>
        <color rgb="FFFF0000"/>
        <rFont val="Arial"/>
        <family val="2"/>
      </rPr>
      <t xml:space="preserve">
Attenzione: il contributo di incentivazione dipende dal età degli impianti e non deve superare il 15-40% dell'investimento complessivo.Nel corso dell'attuazione del programma, il calcolo del contributo massimo (15-40%) dovrà essere giustificato singolarmente per ogni impianti (cfr. condizioni per la presentazione di programmi 2016, capitolo 3.6).
Attenzione:  i fondi di sostegno esterni riducono la sovvenzione massima ProKilowatt ammissibile.</t>
    </r>
  </si>
  <si>
    <r>
      <t xml:space="preserve">Kosten für die Umsetzung der Fördermassnahmen 1-8 (Beschrieb in Kap. 2.1.3 Massnahmen in Programmkonzept zwingend). Bei Betriebsoptimierungen sind die Massnahmen pro Gewerk auszuweisen.
</t>
    </r>
    <r>
      <rPr>
        <b/>
        <sz val="12"/>
        <color rgb="FFFF0000"/>
        <rFont val="Arial"/>
        <family val="2"/>
      </rPr>
      <t xml:space="preserve">
Vorsicht: Der Förderbeitrag ist abhängig vom Alter der Anlage und darf maximal 15-40 % der Gesamtinvestition betragen. Während der Durchführung des Programms muss die Berechnung des maximalen Förderbeitrags (15-40 %) für jede Installation individuell gerechtfertigt werden (siehe Bedingungen für die Einreichung von Programmen 2016, Kap. 3.6).
Vorsicht : Externe Fördermittel reduzieren die maximal mögliche Förderhöhe bei ProKilowatt. </t>
    </r>
  </si>
  <si>
    <r>
      <t xml:space="preserve">Coûts liés à la mise en œuvre des mesures d'accompagnement  1 à 8 (obligation de les décrire dans le concept du programme au chapitre 2.1.3 Mesures). Pour l'optimisation de l'exploitation les mesures doivent être identifiées par équipement/installation.
</t>
    </r>
    <r>
      <rPr>
        <b/>
        <sz val="12"/>
        <color rgb="FFFF0000"/>
        <rFont val="Arial"/>
        <family val="2"/>
      </rPr>
      <t xml:space="preserve">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t>
    </r>
  </si>
  <si>
    <t>Contribution ProKilowatt  prévue (cf remarque U27-31)</t>
  </si>
  <si>
    <t>Voraussichtlich Prokilowatt Förderbeitrag (siehe Bemerkung U27-31)</t>
  </si>
  <si>
    <t>Contributo Prokilowatt (cfr. commento U27-31)</t>
  </si>
  <si>
    <t>Contributions Prokilowatt / unité</t>
  </si>
  <si>
    <t>ProKilowatt Förderbeitrag / Einheit</t>
  </si>
  <si>
    <t>Contributo ProKilowatt / unità</t>
  </si>
  <si>
    <t>Économies d'électricité / unité</t>
  </si>
  <si>
    <t>Strom-einsparung/ Einheit</t>
  </si>
  <si>
    <t>Risparmio di energia elettrica /unità</t>
  </si>
  <si>
    <t>Payback par mesure sans soutien ProKilowatt</t>
  </si>
  <si>
    <t>Payback pro Massnahme ohne Prokilowatt Fördermittel</t>
  </si>
  <si>
    <t>Payback per ogni misura senza i mezzi di Prokilowatt</t>
  </si>
  <si>
    <t>Économies d'électricité cumulée imputable</t>
  </si>
  <si>
    <t>Anrechenbare kumulierte Stromeinsparung</t>
  </si>
  <si>
    <t>Risparmio di energia elettrica accumulato computabile</t>
  </si>
  <si>
    <t>Moteurs électriques ou systèmes d'entrainement ≥ 20 kW</t>
  </si>
  <si>
    <t>Elektromotoren oder Traktionsantriebe ≥ 20 kW</t>
  </si>
  <si>
    <t>Motori elettrici o sistemi di trazione ≥ 20 kW</t>
  </si>
  <si>
    <t>Analyse</t>
  </si>
  <si>
    <t>Analisi</t>
  </si>
  <si>
    <t>%age max admin générale</t>
  </si>
  <si>
    <t>%age max gestion</t>
  </si>
  <si>
    <t>%age min mesures</t>
  </si>
  <si>
    <t>PROGRAM VS AUKTION</t>
  </si>
  <si>
    <t>MIN et MAX contributions</t>
  </si>
  <si>
    <t>max contribution</t>
  </si>
  <si>
    <t>min contribution</t>
  </si>
  <si>
    <t>%age budget</t>
  </si>
  <si>
    <t>%age max analyses vs mesures</t>
  </si>
  <si>
    <t>Choix ?</t>
  </si>
  <si>
    <t>cout cts/kwh</t>
  </si>
  <si>
    <t>IT-Hardware</t>
  </si>
  <si>
    <t>IT hardware</t>
  </si>
  <si>
    <t>IT</t>
  </si>
  <si>
    <t>Strom</t>
  </si>
  <si>
    <t>Réfrigérateurs et congélateurs commerciaux</t>
  </si>
  <si>
    <t>Gewerbliche Kühl- und Gefriergeräte </t>
  </si>
  <si>
    <t>Frigoriferi e congelatori commerciali</t>
  </si>
  <si>
    <t>Coûts liés à la mise en œuvre des mesures principales (obligation de les décrire dans le concept du programme au chapitre 2 Mesures)</t>
  </si>
  <si>
    <t>Kosten für die Fördermassnahmen (Beschrieb in Kap. 2 Massnahmen in Programmkonzept zwingend)</t>
  </si>
  <si>
    <t>Costi per l'attuazione della misura principale 
(Obbligo di descriverli nel concetto del programma al capitolo 2 Misure)</t>
  </si>
  <si>
    <t>Coûts liés à la mise en œuvre des mesures 1 à 8 (obligation de les décrire dans le concept du programme au chapitre 2 Mesures). Les mesures doivent être identifiées par équipement/installation.</t>
  </si>
  <si>
    <t>Kosten für die Umsetzung der Fördermassnahmen 1-8 (Beschrieb in Kap. 2 Massnahmen in Programmkonzept zwingend). Die Massnahmen sind pro Gewerk auszuweisen.</t>
  </si>
  <si>
    <t xml:space="preserve">Costi per l'attuazione delle misure 1-8 (Obbligo di descriverli nel concetto del programma al capitolo 2 Misure). Le misure devono essere indicate per impianto. </t>
  </si>
  <si>
    <t>Français</t>
  </si>
  <si>
    <t>Appels d'offres publics 2019
Formulaire de demande pour programme</t>
  </si>
  <si>
    <t>Wettbewerbliche Ausschreibungen 2019
Antragsformular Programm</t>
  </si>
  <si>
    <t>Gare pubbliche 2019
Formulario di proposta per programma</t>
  </si>
  <si>
    <t>Version 7.0</t>
  </si>
  <si>
    <t>Oct. 2018</t>
  </si>
  <si>
    <t>Avant de remplir la demande, vérifier si le programme est éligible pour l'appel d'offres applicable (voir les conditions pour la soumission des programmes en 2019, chap. 2).</t>
  </si>
  <si>
    <t>Vor dem Ausfüllen des Antrages überprüfen, ob das Programm aufgrund der geltenden Ausschreibung zugelassen ist (siehe Bedingungen für die Einreichung von Programmen 2019 , Kap. 2).</t>
  </si>
  <si>
    <t>Prima di compilare la proposta, verificare se secondo la gara pubblica attuale il programma è ammesso all’asta (cfr. condizioni per la presentazione di programmi 2019, cap. 2).</t>
  </si>
  <si>
    <t>10-Pg</t>
  </si>
  <si>
    <t xml:space="preserve">Indications des dates possibles pour le début (&gt; 01.10.2019) et la fin  (&lt; 31.03.2023) du programme </t>
  </si>
  <si>
    <t>Startdatum (&gt; 01.10.2019) und Enddatum  (&lt; 31.03.2023) des Programmes</t>
  </si>
  <si>
    <t>Indicazione delle date di inizio (&gt; 01.10.2019) e fine (&lt; 31.03.2023) del programma</t>
  </si>
  <si>
    <t>Le requérant confirme en écrivant OUI et en apposant une signature valide légalement qu'il a lu et accepté les «Conditions pour la soumission des projets et programmes en 2019».</t>
  </si>
  <si>
    <r>
      <t xml:space="preserve">Der Antragsteller bestätigt mit einem Ja und einer rechtsgültigen Unterschrift, dass er die </t>
    </r>
    <r>
      <rPr>
        <b/>
        <sz val="12"/>
        <rFont val="Calibri"/>
        <family val="2"/>
      </rPr>
      <t>«</t>
    </r>
    <r>
      <rPr>
        <b/>
        <sz val="12"/>
        <rFont val="Arial"/>
        <family val="2"/>
      </rPr>
      <t>Bedingungen für die Einreichung von Projekten und Programmen 2019»  gelesen und akzeptiert hat.</t>
    </r>
  </si>
  <si>
    <t>Il richiedente conferma con un SÌ e con una firma legalmente valida di avere letto e accettato les  «Condizioni per la presentazione di progetti e programmi 2019».</t>
  </si>
  <si>
    <t>L'appel d'offres et les conditions pour la soumission des projets et programmes en 2019 à respecter impérativement peuvent être téléchargés sur le site www.prokw.ch.</t>
  </si>
  <si>
    <t>Die Ausschreibung und die verbindlichen Bedingungen für die Einreichung von Projekten und Programmen 2019 können unter www.prokw.ch heruntergeladen werden.</t>
  </si>
  <si>
    <t xml:space="preserve">La gara e le condizioni per la presentazione di progetti e programmi 2019 vincolante possono essere scaricate sul sito www.prokw.ch. </t>
  </si>
  <si>
    <t>Services</t>
  </si>
  <si>
    <t>Dienstleistungen</t>
  </si>
  <si>
    <t>Servizi</t>
  </si>
  <si>
    <t>Eclairage extérieur (terrain de sport et stade)</t>
  </si>
  <si>
    <t>Câbles électriques</t>
  </si>
  <si>
    <t>Stromkabel</t>
  </si>
  <si>
    <t>Cavi di alimentazione</t>
  </si>
  <si>
    <t>Contrôle rapport coût/utilité &lt; 8cts/kWh</t>
  </si>
  <si>
    <t>KostenNutzen Verhältnis Steuerung &lt; 8cts/kWh</t>
  </si>
  <si>
    <t>Controllo del rapporto costo/utility &lt; 8cts/kWh</t>
  </si>
  <si>
    <t>check cout &lt; 8cts/kwh</t>
  </si>
  <si>
    <t xml:space="preserve">
La contribution de soutien ProKilowatt peut atteindre au maximum 30 % de l'investissement total (voir les conditions pour la soumission des programmes en 2019 chap. 2.2.1 Pg-1f).
Une contribution financière maximum de CHF 45 000 par client final peut être accordée.
Les coûts d’investissement par mesure soumise ne peuvent pas dépasser CHF 150 000.</t>
  </si>
  <si>
    <t xml:space="preserve">
Der Förderbeitragdarf maximal 30 % der Gesamtinvestition betragen (siehe Bedingungen für die Einreichung von Programmen 2019, Kap. 2.2.1 Pg-1f).
Die Investitionskosten pro beantragter Massnahme dürfen nicht höher als CHF 150‘000 sein.
Pro Endkunde kann das Programm nicht mehr als CHF 45‘000.- an Fördergelder sprechen. 
</t>
  </si>
  <si>
    <t xml:space="preserve">
Il contributo di incentivazione non deve superare il 30% dell'investimento complessivo (cfr. condizioni per la presentazione di programmi 2019, capitolo 2.2.1 Pg-1f).
Nel quadro di un programma, possono essere autorizzati al massimo 45 000 franchi di contributi finanziari per cliente finale.
I costi di investimento per misura presentati non possono superare CHF 150 000.</t>
  </si>
  <si>
    <t>Coûts des analyses (le cas échéant, description obligatoire au chap.3 Mesures dans le concept de programme)
La cellule Q35 ne doit pas dépasser 10% de la cellule Q36 (voir les conditions pour la soumission des projets et programmes en 2019, chapitre 2.2.1 Pg-1f).
ProKilowatt subventionne au maximum 50% des coûts d’une analyse.</t>
  </si>
  <si>
    <t>Kosten für Analyse (Beschrieb in Kap. 3 Massnahmen in Programmkonzept zwingend, wenn vorhanden)
Zelle Q35 darf maximal 10 % der Zelle Q36 betragen  (siehe Bedingungen für die Einreichung von Projekten und Programmen 2019 , Kapitel 2.2.1 Pg-1f).
ProKilowatt subventioniert höchstens 50 % der Kosten einer Analyse.</t>
  </si>
  <si>
    <t>Costi per l’analisi (se noti da riportare obbligatoriamente al cap. 3 Misure del concetto del programma)
'Il valore della cella Q35 non deve superare il 10% della cella Q36 (cfr. condizioni per la presentazione di progetti e programmi 2019, capitolo 2.2.1 Pg-1f).
ProKilowatt finanzia al massimo il 50 per cento dei costi di un'analisi.</t>
  </si>
  <si>
    <t>La cellule R36 doit dépasser 70% du montant de la contribution ProKilowatt demandée (voir les conditions pour la soumission des projets et programmes en 2019, chapitre 2.2.1 Pg-1f).</t>
  </si>
  <si>
    <t>Zelle R36 darf minimal 70 % des beantragten ProKilowatt-Förderbeitrages betragen  (siehe Bedingungen für die Einreichung von Projekten und Programmen 2019 , Kapitel 2.2.1 Pg-1f).</t>
  </si>
  <si>
    <t>Il valore della cella R36 deve superare il 70% del contributo di incentivazione ProKilowatt-richiesto (cfr. condizioni per la presentazione di progetti e programmi 2019, capitolo 2.2.1 Pg-1f).</t>
  </si>
  <si>
    <t>La cellule R21 ne doit pas dépasser 30% du montant de la contribution ProKilowatt demandée (voir les conditions pour la soumission des projets et programmes en 2019, chapitre 2.2.1 Pg-1f).</t>
  </si>
  <si>
    <t>Zelle R21 darf maximal 30 % des beantragten ProKilowatt-Förderbeitrages betragen  (siehe Bedingungen für die Einreichung von Projekten und Programmen 2019 , Kapitel 2.2.1 Pg-1f).</t>
  </si>
  <si>
    <t>Il valore della cella R21 non deve superare il 30% del contributo di incentivazione ProKilowatt-richiesto (cfr. condizioni per la presentazione di progetti e programmi 2019, capitolo 2.2.1 Pg-1f).</t>
  </si>
  <si>
    <t>Les cellules R14 et R21 ne doivent pas dépasser 30% du montant de la contribution ProKilowatt demandée (voir les conditions pour la soumission des projets et programmes en 2019, chapitre 2.2.1 Pg-1f).</t>
  </si>
  <si>
    <t>Zellen R14 und R21 dürfen maximal 20 % des beantragten ProKilowatt-Förderbeitrages betragen  (siehe Bedingungen für die Einreichung von Projekten und Programmen 2019 , Kapitel 2.2.1 Pg-1f).</t>
  </si>
  <si>
    <t>Il valore delle celle R14 e R21 non deve superare il 30% del contributo di incentivazione ProKilowatt-richiesto (cfr. condizioni per la presentazione di progetti e programmi 2019, capitolo 2.2.1 Pg-1f).</t>
  </si>
  <si>
    <t>La cellule R11 ne doit pas dépasser 10% du montant de la contribution ProKilowatt demandée (voir les conditions pour la soumission des projets et programmes en 2019, chapitre 2.2.1 Pg-1f).</t>
  </si>
  <si>
    <t>Zelle R11 darf maximal 10 % des beantragten ProKilowatt-Förderbeitrages betragen  (siehe Bedingungen für die Einreichung von Projekten und Programmen 2019 , Kapitel 2.2.1 Pg-1f).</t>
  </si>
  <si>
    <t>Il valore della cella R11 non deve superare il 10% del contributo di incentivazione ProKilowatt richiesto (cfr. condizioni per la presentazione di progetti e programmi 2019, capitolo 2.2.1 Pg-1f).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</si>
</sst>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0.0"/>
    <numFmt numFmtId="165" formatCode="_ * #,##0_ ;_ * \-#,##0_ ;_ * &quot;-&quot;??_ ;_ @_ "/>
    <numFmt numFmtId="166" formatCode="_ * #,##0.0_ ;_ * \-#,##0.0_ ;_ * &quot;-&quot;??_ ;_ @_ "/>
    <numFmt numFmtId="167" formatCode="_-* #,##0.00\ [$€]_-;\-* #,##0.00\ [$€]_-;_-* &quot;-&quot;??\ [$€]_-;_-@_-"/>
    <numFmt numFmtId="168" formatCode="#,##0.0"/>
    <numFmt numFmtId="169" formatCode="#,##0.00_ ;\-#,##0.00\ "/>
  </numFmts>
  <fonts count="5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u/>
      <sz val="10"/>
      <color indexed="36"/>
      <name val="Arial"/>
      <family val="2"/>
    </font>
    <font>
      <sz val="12"/>
      <name val="Arial"/>
      <family val="2"/>
    </font>
    <font>
      <b/>
      <sz val="20"/>
      <name val="Arial"/>
      <family val="2"/>
    </font>
    <font>
      <b/>
      <sz val="10"/>
      <name val="Arial"/>
      <family val="2"/>
    </font>
    <font>
      <sz val="14"/>
      <name val="Arial"/>
      <family val="2"/>
    </font>
    <font>
      <u/>
      <sz val="10"/>
      <color indexed="12"/>
      <name val="Arial"/>
      <family val="2"/>
    </font>
    <font>
      <u/>
      <sz val="16"/>
      <color indexed="12"/>
      <name val="Arial"/>
      <family val="2"/>
    </font>
    <font>
      <b/>
      <sz val="10"/>
      <color indexed="12"/>
      <name val="Arial"/>
      <family val="2"/>
    </font>
    <font>
      <b/>
      <u/>
      <sz val="11"/>
      <name val="Arial"/>
      <family val="2"/>
    </font>
    <font>
      <sz val="10"/>
      <name val="Arial"/>
      <family val="2"/>
    </font>
    <font>
      <b/>
      <sz val="12"/>
      <name val="Arial"/>
      <family val="2"/>
    </font>
    <font>
      <sz val="11"/>
      <name val="Arial"/>
      <family val="2"/>
    </font>
    <font>
      <b/>
      <sz val="11"/>
      <color indexed="8"/>
      <name val="Calibri"/>
      <family val="2"/>
    </font>
    <font>
      <sz val="18"/>
      <name val="Arial"/>
      <family val="2"/>
    </font>
    <font>
      <b/>
      <sz val="12"/>
      <color indexed="18"/>
      <name val="Arial"/>
      <family val="2"/>
    </font>
    <font>
      <b/>
      <sz val="8"/>
      <name val="Arial"/>
      <family val="2"/>
    </font>
    <font>
      <sz val="8"/>
      <name val="Arial"/>
      <family val="2"/>
    </font>
    <font>
      <b/>
      <i/>
      <sz val="12"/>
      <name val="Arial"/>
      <family val="2"/>
    </font>
    <font>
      <sz val="9"/>
      <name val="Arial"/>
      <family val="2"/>
    </font>
    <font>
      <sz val="16"/>
      <name val="Arial"/>
      <family val="2"/>
    </font>
    <font>
      <b/>
      <u/>
      <sz val="10"/>
      <name val="Arial"/>
      <family val="2"/>
    </font>
    <font>
      <sz val="10"/>
      <color indexed="8"/>
      <name val="Arial"/>
      <family val="2"/>
    </font>
    <font>
      <i/>
      <sz val="10"/>
      <name val="Arial"/>
      <family val="2"/>
    </font>
    <font>
      <sz val="10"/>
      <color indexed="18"/>
      <name val="Arial"/>
      <family val="2"/>
    </font>
    <font>
      <sz val="8"/>
      <name val="Arial"/>
      <family val="2"/>
    </font>
    <font>
      <u/>
      <sz val="11"/>
      <color indexed="12"/>
      <name val="Arial"/>
      <family val="2"/>
    </font>
    <font>
      <sz val="12"/>
      <color indexed="12"/>
      <name val="Symbol"/>
      <family val="1"/>
      <charset val="2"/>
    </font>
    <font>
      <sz val="12"/>
      <color indexed="18"/>
      <name val="Arial"/>
      <family val="2"/>
    </font>
    <font>
      <sz val="10"/>
      <name val="Symbol"/>
      <family val="1"/>
      <charset val="2"/>
    </font>
    <font>
      <b/>
      <sz val="11"/>
      <color indexed="8"/>
      <name val="Arial"/>
      <family val="2"/>
    </font>
    <font>
      <b/>
      <sz val="10"/>
      <color indexed="8"/>
      <name val="Arial"/>
      <family val="2"/>
    </font>
    <font>
      <sz val="6"/>
      <name val="Arial"/>
      <family val="2"/>
    </font>
    <font>
      <b/>
      <sz val="12"/>
      <name val="Calibri"/>
      <family val="2"/>
    </font>
    <font>
      <b/>
      <sz val="10"/>
      <name val="Calibri"/>
      <family val="2"/>
      <scheme val="minor"/>
    </font>
    <font>
      <sz val="10"/>
      <color theme="1"/>
      <name val="Arial"/>
      <family val="2"/>
    </font>
    <font>
      <b/>
      <sz val="12"/>
      <color theme="1"/>
      <name val="Arial"/>
      <family val="2"/>
    </font>
    <font>
      <b/>
      <sz val="18"/>
      <color rgb="FF0070C0"/>
      <name val="Calibri"/>
      <family val="2"/>
      <scheme val="minor"/>
    </font>
    <font>
      <b/>
      <sz val="11"/>
      <color rgb="FFFF0000"/>
      <name val="Calibri"/>
      <family val="2"/>
      <scheme val="minor"/>
    </font>
    <font>
      <sz val="11"/>
      <color rgb="FF000000"/>
      <name val="Calibri"/>
      <family val="2"/>
    </font>
    <font>
      <b/>
      <sz val="11"/>
      <color rgb="FFFF0000"/>
      <name val="Calibri"/>
      <family val="2"/>
    </font>
    <font>
      <sz val="11"/>
      <color theme="1"/>
      <name val="Calibri"/>
      <family val="2"/>
    </font>
    <font>
      <b/>
      <i/>
      <strike/>
      <sz val="12"/>
      <name val="Arial"/>
      <family val="2"/>
    </font>
    <font>
      <b/>
      <strike/>
      <sz val="12"/>
      <name val="Arial"/>
      <family val="2"/>
    </font>
    <font>
      <b/>
      <sz val="12"/>
      <color rgb="FFFF0000"/>
      <name val="Arial"/>
      <family val="2"/>
    </font>
    <font>
      <sz val="10"/>
      <color rgb="FFFF0000"/>
      <name val="Arial"/>
      <family val="2"/>
    </font>
  </fonts>
  <fills count="22">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52"/>
        <bgColor indexed="64"/>
      </patternFill>
    </fill>
    <fill>
      <patternFill patternType="solid">
        <fgColor theme="0" tint="-0.249977111117893"/>
        <bgColor indexed="64"/>
      </patternFill>
    </fill>
    <fill>
      <patternFill patternType="solid">
        <fgColor rgb="FFC0C0C0"/>
        <bgColor indexed="64"/>
      </patternFill>
    </fill>
    <fill>
      <patternFill patternType="solid">
        <fgColor rgb="FFFF6600"/>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9CCFF"/>
        <bgColor indexed="64"/>
      </patternFill>
    </fill>
    <fill>
      <patternFill patternType="solid">
        <fgColor rgb="FFFF33CC"/>
        <bgColor indexed="64"/>
      </patternFill>
    </fill>
    <fill>
      <patternFill patternType="solid">
        <fgColor rgb="FFC6EFCE"/>
        <bgColor indexed="64"/>
      </patternFill>
    </fill>
    <fill>
      <patternFill patternType="solid">
        <fgColor rgb="FFFFC7CE"/>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rgb="FFEEECE1"/>
      </top>
      <bottom style="thin">
        <color rgb="FFEEECE1"/>
      </bottom>
      <diagonal/>
    </border>
    <border>
      <left style="medium">
        <color indexed="64"/>
      </left>
      <right/>
      <top style="medium">
        <color indexed="64"/>
      </top>
      <bottom style="thin">
        <color rgb="FFEEECE1"/>
      </bottom>
      <diagonal/>
    </border>
    <border>
      <left style="medium">
        <color indexed="64"/>
      </left>
      <right/>
      <top style="thin">
        <color rgb="FFEEECE1"/>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rgb="FFEEECE1"/>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s>
  <cellStyleXfs count="17">
    <xf numFmtId="0" fontId="0" fillId="0" borderId="0">
      <protection locked="0"/>
    </xf>
    <xf numFmtId="0" fontId="5" fillId="0" borderId="0" applyNumberFormat="0" applyFill="0" applyBorder="0" applyAlignment="0" applyProtection="0">
      <alignment vertical="top"/>
      <protection locked="0"/>
    </xf>
    <xf numFmtId="167" fontId="3"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43" fontId="4" fillId="0" borderId="0" applyFont="0" applyFill="0" applyBorder="0" applyAlignment="0" applyProtection="0"/>
    <xf numFmtId="0" fontId="4" fillId="0" borderId="0"/>
    <xf numFmtId="0" fontId="4" fillId="0" borderId="0">
      <protection locked="0"/>
    </xf>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protection locked="0"/>
    </xf>
    <xf numFmtId="0" fontId="2" fillId="0" borderId="0"/>
    <xf numFmtId="0" fontId="1" fillId="0" borderId="0"/>
  </cellStyleXfs>
  <cellXfs count="579">
    <xf numFmtId="0" fontId="0" fillId="0" borderId="0" xfId="0">
      <protection locked="0"/>
    </xf>
    <xf numFmtId="0" fontId="0" fillId="0" borderId="1" xfId="0" applyBorder="1" applyAlignment="1" applyProtection="1">
      <alignment vertical="center"/>
    </xf>
    <xf numFmtId="0" fontId="4" fillId="0" borderId="1" xfId="0" applyFont="1" applyBorder="1" applyAlignment="1" applyProtection="1">
      <alignment vertical="center"/>
    </xf>
    <xf numFmtId="0" fontId="0" fillId="0" borderId="0" xfId="0" applyFill="1" applyBorder="1" applyAlignment="1" applyProtection="1">
      <alignment vertical="center"/>
    </xf>
    <xf numFmtId="0" fontId="0" fillId="0" borderId="1" xfId="0" applyFill="1" applyBorder="1" applyAlignment="1" applyProtection="1">
      <alignment vertical="center"/>
    </xf>
    <xf numFmtId="0" fontId="0" fillId="0" borderId="0" xfId="0" applyBorder="1" applyAlignment="1" applyProtection="1">
      <alignment vertical="center"/>
    </xf>
    <xf numFmtId="165" fontId="0" fillId="0" borderId="1" xfId="0" applyNumberFormat="1" applyFill="1" applyBorder="1" applyAlignment="1" applyProtection="1">
      <alignment vertical="center"/>
    </xf>
    <xf numFmtId="1" fontId="0" fillId="3" borderId="1" xfId="0" applyNumberFormat="1" applyFill="1" applyBorder="1" applyAlignment="1" applyProtection="1">
      <alignment vertical="center"/>
    </xf>
    <xf numFmtId="0" fontId="11" fillId="0" borderId="2" xfId="4" applyFont="1" applyFill="1" applyBorder="1" applyAlignment="1" applyProtection="1">
      <alignment vertical="center"/>
    </xf>
    <xf numFmtId="0" fontId="0" fillId="0" borderId="0" xfId="0" applyAlignment="1" applyProtection="1">
      <alignment vertical="center"/>
    </xf>
    <xf numFmtId="164" fontId="0" fillId="0" borderId="0" xfId="0" applyNumberForma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vertical="center"/>
    </xf>
    <xf numFmtId="0" fontId="4" fillId="0" borderId="1" xfId="0" applyFont="1" applyBorder="1" applyAlignment="1" applyProtection="1">
      <alignment vertical="center" wrapText="1"/>
    </xf>
    <xf numFmtId="0" fontId="0" fillId="4" borderId="1" xfId="0" applyFill="1" applyBorder="1" applyAlignment="1" applyProtection="1">
      <alignment vertical="center"/>
    </xf>
    <xf numFmtId="0" fontId="8" fillId="0" borderId="0" xfId="0" applyFont="1" applyAlignment="1" applyProtection="1">
      <alignment vertical="center"/>
    </xf>
    <xf numFmtId="164" fontId="4" fillId="0" borderId="0" xfId="0" applyNumberFormat="1" applyFont="1" applyBorder="1" applyAlignment="1" applyProtection="1">
      <alignment vertical="center"/>
    </xf>
    <xf numFmtId="0" fontId="4" fillId="0" borderId="0" xfId="0" applyFont="1" applyAlignment="1" applyProtection="1">
      <alignment vertical="center" wrapText="1"/>
    </xf>
    <xf numFmtId="164" fontId="4" fillId="0" borderId="0" xfId="0" applyNumberFormat="1" applyFont="1" applyAlignment="1" applyProtection="1">
      <alignment vertical="center"/>
    </xf>
    <xf numFmtId="0" fontId="4" fillId="0" borderId="0" xfId="0" applyFont="1" applyBorder="1" applyAlignment="1" applyProtection="1">
      <alignment horizontal="left" vertical="center" wrapText="1"/>
    </xf>
    <xf numFmtId="0" fontId="4" fillId="0" borderId="0" xfId="0" applyFont="1" applyFill="1" applyAlignment="1" applyProtection="1">
      <alignment horizontal="center" vertical="center"/>
    </xf>
    <xf numFmtId="0" fontId="0" fillId="0" borderId="0" xfId="0" applyFill="1" applyAlignment="1" applyProtection="1">
      <alignment vertical="center"/>
    </xf>
    <xf numFmtId="0" fontId="4" fillId="0" borderId="1" xfId="0" applyFont="1" applyBorder="1" applyAlignment="1" applyProtection="1">
      <alignment horizontal="left" vertical="center" wrapText="1"/>
    </xf>
    <xf numFmtId="165" fontId="14" fillId="3" borderId="1" xfId="6" applyNumberFormat="1" applyFont="1" applyFill="1" applyBorder="1" applyAlignment="1" applyProtection="1">
      <alignment vertical="center"/>
    </xf>
    <xf numFmtId="43" fontId="14" fillId="3" borderId="1" xfId="6" applyNumberFormat="1" applyFont="1" applyFill="1" applyBorder="1" applyAlignment="1" applyProtection="1">
      <alignment vertical="center"/>
    </xf>
    <xf numFmtId="0" fontId="0" fillId="0" borderId="0" xfId="0" applyProtection="1"/>
    <xf numFmtId="0" fontId="4" fillId="0" borderId="4" xfId="8" applyBorder="1" applyAlignment="1" applyProtection="1">
      <alignment vertical="center"/>
    </xf>
    <xf numFmtId="0" fontId="4" fillId="0" borderId="0" xfId="8" applyBorder="1" applyAlignment="1" applyProtection="1">
      <alignment vertical="center"/>
    </xf>
    <xf numFmtId="0" fontId="4" fillId="0" borderId="5" xfId="8" applyBorder="1" applyAlignment="1" applyProtection="1">
      <alignment vertical="center"/>
    </xf>
    <xf numFmtId="0" fontId="13" fillId="0" borderId="0" xfId="0" applyFont="1" applyAlignment="1" applyProtection="1">
      <alignment vertical="center"/>
    </xf>
    <xf numFmtId="0" fontId="0" fillId="4" borderId="0" xfId="0" applyFill="1" applyAlignment="1" applyProtection="1">
      <alignment vertical="center"/>
    </xf>
    <xf numFmtId="0" fontId="0" fillId="0" borderId="0" xfId="0" applyAlignment="1" applyProtection="1">
      <alignment vertical="center" wrapText="1"/>
    </xf>
    <xf numFmtId="0" fontId="4" fillId="5"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pplyProtection="1">
      <alignment vertical="center" wrapText="1"/>
    </xf>
    <xf numFmtId="0" fontId="15" fillId="0" borderId="0" xfId="0" applyFont="1" applyAlignment="1" applyProtection="1">
      <alignment vertical="center"/>
    </xf>
    <xf numFmtId="0" fontId="15" fillId="0" borderId="0" xfId="0" applyFont="1" applyProtection="1"/>
    <xf numFmtId="0" fontId="4" fillId="0" borderId="0" xfId="0" applyFont="1" applyProtection="1"/>
    <xf numFmtId="0" fontId="4" fillId="0" borderId="0" xfId="0" applyFont="1" applyFill="1" applyAlignment="1" applyProtection="1">
      <alignment vertical="center"/>
    </xf>
    <xf numFmtId="0" fontId="8" fillId="0" borderId="0" xfId="0" applyFont="1" applyAlignment="1" applyProtection="1">
      <alignment vertical="top" wrapText="1"/>
    </xf>
    <xf numFmtId="0" fontId="13" fillId="0" borderId="0" xfId="0" applyFont="1" applyProtection="1"/>
    <xf numFmtId="0" fontId="0" fillId="0" borderId="0" xfId="0" applyAlignment="1" applyProtection="1">
      <alignment horizontal="center" vertical="center"/>
    </xf>
    <xf numFmtId="165" fontId="4" fillId="3" borderId="1" xfId="6" applyNumberFormat="1" applyFont="1" applyFill="1" applyBorder="1" applyAlignment="1" applyProtection="1">
      <alignment vertical="center"/>
    </xf>
    <xf numFmtId="0" fontId="0" fillId="0" borderId="6"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0" fillId="0" borderId="12" xfId="0" applyBorder="1" applyAlignment="1" applyProtection="1">
      <alignment vertical="center"/>
    </xf>
    <xf numFmtId="0" fontId="0" fillId="0" borderId="13" xfId="0" applyBorder="1" applyAlignment="1" applyProtection="1">
      <alignment vertical="center"/>
    </xf>
    <xf numFmtId="0" fontId="19" fillId="0" borderId="0" xfId="10" applyFont="1" applyProtection="1"/>
    <xf numFmtId="0" fontId="23" fillId="0" borderId="0" xfId="8" applyFont="1" applyFill="1" applyBorder="1" applyAlignment="1" applyProtection="1">
      <alignment vertical="center"/>
    </xf>
    <xf numFmtId="0" fontId="4" fillId="0" borderId="0" xfId="8" applyFill="1" applyBorder="1" applyAlignment="1" applyProtection="1">
      <alignment vertical="center"/>
    </xf>
    <xf numFmtId="0" fontId="23" fillId="0" borderId="4" xfId="8" applyFont="1" applyFill="1" applyBorder="1" applyAlignment="1" applyProtection="1">
      <alignment vertical="center"/>
    </xf>
    <xf numFmtId="0" fontId="4" fillId="0" borderId="4" xfId="8" applyFill="1" applyBorder="1" applyAlignment="1" applyProtection="1">
      <alignment vertical="center"/>
    </xf>
    <xf numFmtId="0" fontId="4" fillId="0" borderId="5" xfId="8" applyFill="1" applyBorder="1" applyAlignment="1" applyProtection="1">
      <alignment vertical="top"/>
    </xf>
    <xf numFmtId="0" fontId="4" fillId="0" borderId="14" xfId="8" applyFill="1" applyBorder="1" applyAlignment="1" applyProtection="1">
      <alignment vertical="top"/>
    </xf>
    <xf numFmtId="0" fontId="4" fillId="0" borderId="15" xfId="8" applyFill="1" applyBorder="1" applyAlignment="1" applyProtection="1">
      <alignment vertical="top"/>
    </xf>
    <xf numFmtId="0" fontId="6" fillId="0" borderId="16" xfId="8" applyFont="1" applyFill="1" applyBorder="1" applyAlignment="1" applyProtection="1">
      <alignment vertical="center"/>
    </xf>
    <xf numFmtId="0" fontId="4" fillId="0" borderId="17" xfId="8" applyFill="1" applyBorder="1" applyAlignment="1" applyProtection="1">
      <alignment vertical="center"/>
    </xf>
    <xf numFmtId="0" fontId="7" fillId="0" borderId="18" xfId="8" applyFont="1" applyFill="1" applyBorder="1" applyAlignment="1" applyProtection="1">
      <alignment horizontal="center" vertical="center"/>
    </xf>
    <xf numFmtId="0" fontId="6" fillId="0" borderId="19" xfId="8" applyFont="1" applyFill="1" applyBorder="1" applyAlignment="1" applyProtection="1">
      <alignment horizontal="center" vertical="center"/>
    </xf>
    <xf numFmtId="0" fontId="9" fillId="0" borderId="20" xfId="8" applyFont="1" applyFill="1" applyBorder="1" applyAlignment="1" applyProtection="1">
      <alignment horizontal="center" vertical="center"/>
    </xf>
    <xf numFmtId="0" fontId="4" fillId="0" borderId="1" xfId="0" applyFont="1" applyBorder="1" applyAlignment="1" applyProtection="1">
      <alignment horizontal="lef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wrapText="1"/>
    </xf>
    <xf numFmtId="9" fontId="4" fillId="3" borderId="1" xfId="11" applyFont="1" applyFill="1" applyBorder="1" applyAlignment="1" applyProtection="1">
      <alignment vertical="center"/>
    </xf>
    <xf numFmtId="166" fontId="14" fillId="3" borderId="1" xfId="6" applyNumberFormat="1" applyFont="1" applyFill="1" applyBorder="1" applyAlignment="1" applyProtection="1">
      <alignment vertical="center"/>
    </xf>
    <xf numFmtId="165" fontId="0" fillId="0" borderId="0" xfId="0" applyNumberFormat="1" applyAlignment="1" applyProtection="1">
      <alignment vertical="center"/>
    </xf>
    <xf numFmtId="43" fontId="0" fillId="0" borderId="1" xfId="0" applyNumberFormat="1" applyBorder="1" applyAlignment="1" applyProtection="1">
      <alignment vertical="center"/>
    </xf>
    <xf numFmtId="0" fontId="4" fillId="0" borderId="0" xfId="9" applyAlignment="1" applyProtection="1">
      <alignment vertical="center"/>
    </xf>
    <xf numFmtId="0" fontId="15" fillId="0" borderId="0" xfId="9" applyFont="1" applyAlignment="1" applyProtection="1">
      <alignment vertical="center"/>
    </xf>
    <xf numFmtId="164" fontId="4" fillId="0" borderId="0" xfId="9" applyNumberFormat="1" applyBorder="1" applyAlignment="1" applyProtection="1">
      <alignment vertical="center"/>
    </xf>
    <xf numFmtId="0" fontId="4" fillId="0" borderId="0" xfId="9" applyFont="1" applyAlignment="1" applyProtection="1">
      <alignment vertical="center"/>
    </xf>
    <xf numFmtId="0" fontId="4" fillId="0" borderId="0" xfId="9" applyBorder="1" applyAlignment="1" applyProtection="1">
      <alignment vertical="center"/>
    </xf>
    <xf numFmtId="164" fontId="4" fillId="0" borderId="0" xfId="9" applyNumberFormat="1" applyAlignment="1" applyProtection="1">
      <alignment vertical="center"/>
    </xf>
    <xf numFmtId="0" fontId="16" fillId="0" borderId="0" xfId="0" applyFont="1" applyFill="1" applyBorder="1" applyAlignment="1" applyProtection="1">
      <alignment horizontal="left" vertical="center"/>
    </xf>
    <xf numFmtId="0" fontId="4" fillId="0" borderId="1" xfId="0" applyFont="1" applyFill="1" applyBorder="1" applyAlignment="1" applyProtection="1">
      <alignment vertical="center" wrapText="1"/>
    </xf>
    <xf numFmtId="0" fontId="0" fillId="0" borderId="1" xfId="0" applyFill="1" applyBorder="1" applyAlignment="1" applyProtection="1">
      <alignment vertical="center" wrapText="1"/>
    </xf>
    <xf numFmtId="0" fontId="25" fillId="0" borderId="0" xfId="0" applyFont="1" applyProtection="1"/>
    <xf numFmtId="0" fontId="0" fillId="0" borderId="0" xfId="0" applyFill="1" applyBorder="1" applyProtection="1"/>
    <xf numFmtId="0" fontId="26" fillId="0" borderId="1" xfId="0" applyFont="1" applyBorder="1" applyAlignment="1" applyProtection="1">
      <alignment vertical="center"/>
    </xf>
    <xf numFmtId="0" fontId="0" fillId="0" borderId="1" xfId="0" applyBorder="1" applyAlignment="1" applyProtection="1">
      <alignment horizontal="center" vertical="center"/>
    </xf>
    <xf numFmtId="0" fontId="22" fillId="9" borderId="22" xfId="0" applyFont="1" applyFill="1" applyBorder="1" applyAlignment="1" applyProtection="1">
      <alignment horizontal="center" vertical="center"/>
      <protection locked="0"/>
    </xf>
    <xf numFmtId="164" fontId="4" fillId="0" borderId="1" xfId="0" applyNumberFormat="1" applyFont="1" applyBorder="1" applyAlignment="1" applyProtection="1">
      <alignment vertical="center"/>
    </xf>
    <xf numFmtId="43" fontId="0" fillId="0" borderId="0" xfId="7" applyFont="1" applyBorder="1" applyAlignment="1" applyProtection="1">
      <alignment horizontal="left" vertical="center"/>
    </xf>
    <xf numFmtId="0" fontId="4" fillId="0" borderId="0" xfId="9" applyFont="1" applyBorder="1" applyAlignment="1" applyProtection="1">
      <alignment vertical="center"/>
    </xf>
    <xf numFmtId="0" fontId="4" fillId="0" borderId="0" xfId="9" applyFill="1" applyBorder="1" applyAlignment="1" applyProtection="1">
      <alignment vertical="center"/>
    </xf>
    <xf numFmtId="0" fontId="6" fillId="0" borderId="0" xfId="0" applyFont="1" applyProtection="1"/>
    <xf numFmtId="0" fontId="4" fillId="12" borderId="0" xfId="0" applyFont="1" applyFill="1" applyAlignment="1" applyProtection="1">
      <alignment vertical="center" wrapText="1"/>
    </xf>
    <xf numFmtId="165" fontId="0" fillId="0" borderId="0" xfId="6" applyNumberFormat="1" applyFont="1" applyBorder="1" applyAlignment="1" applyProtection="1">
      <alignment vertical="center"/>
    </xf>
    <xf numFmtId="165" fontId="0" fillId="0" borderId="0" xfId="0" applyNumberFormat="1" applyFill="1" applyBorder="1" applyAlignment="1" applyProtection="1">
      <alignment vertical="center"/>
    </xf>
    <xf numFmtId="165" fontId="14" fillId="0" borderId="0" xfId="6" applyNumberFormat="1" applyFont="1" applyFill="1" applyBorder="1" applyAlignment="1" applyProtection="1">
      <alignment vertical="center"/>
    </xf>
    <xf numFmtId="43" fontId="0" fillId="0" borderId="0" xfId="6" applyNumberFormat="1" applyFont="1" applyFill="1" applyBorder="1" applyAlignment="1" applyProtection="1">
      <alignment vertical="center"/>
    </xf>
    <xf numFmtId="0" fontId="4" fillId="14" borderId="1" xfId="9" applyFill="1" applyBorder="1" applyAlignment="1" applyProtection="1">
      <alignmen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49" fontId="4" fillId="5" borderId="1" xfId="0" applyNumberFormat="1" applyFont="1" applyFill="1" applyBorder="1" applyAlignment="1" applyProtection="1">
      <alignment horizontal="center" vertical="center" wrapText="1"/>
      <protection locked="0"/>
    </xf>
    <xf numFmtId="165" fontId="4" fillId="0" borderId="1" xfId="9" applyNumberFormat="1" applyBorder="1" applyAlignment="1" applyProtection="1">
      <alignment vertical="center"/>
    </xf>
    <xf numFmtId="0" fontId="26" fillId="0" borderId="1" xfId="0" applyFont="1" applyBorder="1" applyAlignment="1" applyProtection="1">
      <alignment vertical="center" wrapText="1"/>
    </xf>
    <xf numFmtId="0" fontId="15" fillId="0" borderId="0" xfId="10" applyFont="1" applyFill="1" applyProtection="1"/>
    <xf numFmtId="0" fontId="31" fillId="0" borderId="0" xfId="5" applyFont="1" applyFill="1" applyBorder="1" applyAlignment="1" applyProtection="1"/>
    <xf numFmtId="0" fontId="15" fillId="0" borderId="0" xfId="10" applyFont="1" applyFill="1" applyBorder="1" applyAlignment="1" applyProtection="1">
      <alignment horizontal="left" wrapText="1"/>
    </xf>
    <xf numFmtId="0" fontId="15" fillId="0" borderId="0" xfId="10" applyFont="1" applyFill="1" applyBorder="1" applyAlignment="1" applyProtection="1">
      <alignment horizontal="left" vertical="top"/>
    </xf>
    <xf numFmtId="0" fontId="15" fillId="0" borderId="0" xfId="10" applyFont="1" applyFill="1" applyBorder="1" applyAlignment="1" applyProtection="1">
      <alignment horizontal="left"/>
    </xf>
    <xf numFmtId="0" fontId="6" fillId="0" borderId="0" xfId="10" applyFont="1" applyBorder="1" applyProtection="1"/>
    <xf numFmtId="0" fontId="32" fillId="0" borderId="0" xfId="10" applyFont="1" applyBorder="1" applyAlignment="1" applyProtection="1">
      <alignment horizontal="right"/>
    </xf>
    <xf numFmtId="0" fontId="6" fillId="2" borderId="0" xfId="0" applyFont="1" applyFill="1" applyAlignment="1" applyProtection="1">
      <alignment horizontal="center"/>
      <protection locked="0"/>
    </xf>
    <xf numFmtId="0" fontId="6" fillId="0" borderId="0" xfId="10" applyFont="1" applyFill="1" applyBorder="1" applyAlignment="1" applyProtection="1">
      <alignment horizontal="left" wrapText="1"/>
    </xf>
    <xf numFmtId="0" fontId="6" fillId="0" borderId="0" xfId="10" applyFont="1" applyFill="1" applyBorder="1" applyAlignment="1" applyProtection="1">
      <alignment horizontal="left" vertical="top"/>
    </xf>
    <xf numFmtId="0" fontId="6" fillId="0" borderId="0" xfId="10" applyFont="1" applyFill="1" applyBorder="1" applyAlignment="1" applyProtection="1">
      <alignment horizontal="left"/>
    </xf>
    <xf numFmtId="0" fontId="19" fillId="0" borderId="0" xfId="10" applyFont="1" applyBorder="1" applyProtection="1"/>
    <xf numFmtId="0" fontId="32" fillId="0" borderId="12" xfId="10" applyFont="1" applyBorder="1" applyAlignment="1" applyProtection="1">
      <alignment horizontal="center"/>
    </xf>
    <xf numFmtId="0" fontId="6" fillId="0" borderId="0" xfId="10" applyFont="1" applyFill="1" applyBorder="1" applyProtection="1"/>
    <xf numFmtId="0" fontId="19" fillId="0" borderId="1" xfId="10" applyFont="1" applyFill="1" applyBorder="1" applyAlignment="1" applyProtection="1">
      <alignment horizontal="left" wrapText="1"/>
    </xf>
    <xf numFmtId="0" fontId="19" fillId="0" borderId="0" xfId="10" applyFont="1" applyFill="1" applyBorder="1" applyAlignment="1" applyProtection="1">
      <alignment horizontal="left" vertical="top"/>
    </xf>
    <xf numFmtId="0" fontId="19" fillId="0" borderId="0" xfId="10" applyFont="1" applyFill="1" applyBorder="1" applyAlignment="1" applyProtection="1">
      <alignment horizontal="left"/>
    </xf>
    <xf numFmtId="0" fontId="19" fillId="0" borderId="0" xfId="10" applyFont="1" applyFill="1" applyBorder="1" applyAlignment="1" applyProtection="1">
      <alignment horizontal="left" wrapText="1"/>
    </xf>
    <xf numFmtId="0" fontId="19" fillId="0" borderId="0" xfId="10" applyFont="1" applyFill="1" applyBorder="1" applyProtection="1"/>
    <xf numFmtId="0" fontId="32" fillId="0" borderId="11" xfId="10" applyFont="1" applyBorder="1" applyAlignment="1" applyProtection="1">
      <alignment horizontal="center"/>
    </xf>
    <xf numFmtId="0" fontId="15" fillId="5" borderId="24" xfId="10" applyFont="1" applyFill="1" applyBorder="1" applyAlignment="1" applyProtection="1">
      <alignment horizontal="left" wrapText="1"/>
    </xf>
    <xf numFmtId="0" fontId="19" fillId="0" borderId="23" xfId="10" applyFont="1" applyBorder="1" applyProtection="1"/>
    <xf numFmtId="0" fontId="19" fillId="7" borderId="1" xfId="10" applyFont="1" applyFill="1" applyBorder="1" applyAlignment="1" applyProtection="1">
      <alignment horizontal="left" wrapText="1"/>
    </xf>
    <xf numFmtId="0" fontId="19" fillId="10" borderId="1" xfId="10" applyFont="1" applyFill="1" applyBorder="1" applyAlignment="1" applyProtection="1">
      <alignment horizontal="left" vertical="top"/>
    </xf>
    <xf numFmtId="0" fontId="19" fillId="2" borderId="1" xfId="10" applyFont="1" applyFill="1" applyBorder="1" applyAlignment="1" applyProtection="1">
      <alignment horizontal="left"/>
    </xf>
    <xf numFmtId="0" fontId="19" fillId="6" borderId="1" xfId="10" applyFont="1" applyFill="1" applyBorder="1" applyAlignment="1" applyProtection="1">
      <alignment horizontal="left" wrapText="1"/>
    </xf>
    <xf numFmtId="0" fontId="19" fillId="11" borderId="25" xfId="10" applyFont="1" applyFill="1" applyBorder="1" applyProtection="1"/>
    <xf numFmtId="0" fontId="6" fillId="5" borderId="24" xfId="10" applyFont="1" applyFill="1" applyBorder="1" applyAlignment="1" applyProtection="1">
      <alignment horizontal="left" wrapText="1"/>
    </xf>
    <xf numFmtId="0" fontId="19" fillId="8" borderId="26" xfId="10" applyFont="1" applyFill="1" applyBorder="1" applyProtection="1"/>
    <xf numFmtId="0" fontId="32" fillId="0" borderId="21" xfId="10" applyFont="1" applyBorder="1" applyAlignment="1" applyProtection="1">
      <alignment horizontal="center"/>
    </xf>
    <xf numFmtId="0" fontId="19" fillId="11" borderId="26" xfId="10" applyFont="1" applyFill="1" applyBorder="1" applyProtection="1"/>
    <xf numFmtId="0" fontId="19" fillId="0" borderId="26" xfId="10" applyFont="1" applyFill="1" applyBorder="1" applyProtection="1"/>
    <xf numFmtId="0" fontId="0" fillId="5" borderId="1" xfId="0" applyNumberFormat="1" applyFill="1" applyBorder="1" applyAlignment="1" applyProtection="1">
      <alignment horizontal="center" vertical="center" wrapText="1"/>
      <protection locked="0"/>
    </xf>
    <xf numFmtId="0" fontId="15" fillId="10" borderId="1" xfId="10" applyFont="1" applyFill="1" applyBorder="1" applyAlignment="1" applyProtection="1">
      <alignment horizontal="left" vertical="top" wrapText="1"/>
    </xf>
    <xf numFmtId="0" fontId="15" fillId="10" borderId="1" xfId="10" applyFont="1" applyFill="1" applyBorder="1" applyAlignment="1" applyProtection="1">
      <alignment horizontal="left" vertical="top"/>
    </xf>
    <xf numFmtId="0" fontId="0" fillId="15" borderId="0" xfId="0" applyFill="1" applyAlignment="1" applyProtection="1">
      <alignment vertical="center" wrapText="1"/>
    </xf>
    <xf numFmtId="0" fontId="3" fillId="0" borderId="0" xfId="0" applyFont="1" applyAlignment="1" applyProtection="1">
      <alignment vertical="center"/>
    </xf>
    <xf numFmtId="0" fontId="3" fillId="0" borderId="0" xfId="9" applyFont="1" applyBorder="1" applyAlignment="1" applyProtection="1">
      <alignment horizontal="left" vertical="center"/>
    </xf>
    <xf numFmtId="0" fontId="3" fillId="0" borderId="0" xfId="9" applyFont="1" applyAlignment="1" applyProtection="1">
      <alignment vertical="center"/>
    </xf>
    <xf numFmtId="9" fontId="3" fillId="3" borderId="1" xfId="11" applyFont="1" applyFill="1" applyBorder="1" applyAlignment="1" applyProtection="1">
      <alignment vertical="center"/>
    </xf>
    <xf numFmtId="14" fontId="3" fillId="0" borderId="0" xfId="0" quotePrefix="1" applyNumberFormat="1" applyFont="1" applyAlignment="1" applyProtection="1">
      <alignment horizontal="right"/>
    </xf>
    <xf numFmtId="43" fontId="3" fillId="5" borderId="1" xfId="6" applyFont="1" applyFill="1" applyBorder="1" applyAlignment="1" applyProtection="1">
      <alignment vertical="center"/>
      <protection locked="0"/>
    </xf>
    <xf numFmtId="49" fontId="3" fillId="5" borderId="1" xfId="0" applyNumberFormat="1" applyFont="1" applyFill="1" applyBorder="1" applyAlignment="1" applyProtection="1">
      <alignment horizontal="lef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49" fontId="3" fillId="5" borderId="1" xfId="0" applyNumberFormat="1" applyFont="1" applyFill="1" applyBorder="1" applyAlignment="1" applyProtection="1">
      <alignment vertical="center"/>
      <protection locked="0"/>
    </xf>
    <xf numFmtId="165" fontId="3" fillId="5" borderId="1" xfId="12" applyNumberFormat="1" applyFont="1" applyFill="1" applyBorder="1" applyAlignment="1" applyProtection="1">
      <alignment vertical="center"/>
      <protection locked="0"/>
    </xf>
    <xf numFmtId="0" fontId="4" fillId="15" borderId="0" xfId="0" applyFont="1" applyFill="1" applyAlignment="1" applyProtection="1">
      <alignment vertical="center" wrapText="1"/>
    </xf>
    <xf numFmtId="3" fontId="26" fillId="15" borderId="1" xfId="9" applyNumberFormat="1" applyFont="1" applyFill="1" applyBorder="1" applyAlignment="1" applyProtection="1">
      <alignment vertical="center" wrapText="1"/>
    </xf>
    <xf numFmtId="0" fontId="9" fillId="0" borderId="21" xfId="9" applyFont="1" applyBorder="1" applyAlignment="1" applyProtection="1">
      <alignment vertical="center"/>
    </xf>
    <xf numFmtId="0" fontId="9" fillId="0" borderId="23" xfId="9" applyFont="1" applyBorder="1" applyAlignment="1" applyProtection="1">
      <alignment vertical="center"/>
    </xf>
    <xf numFmtId="0" fontId="3" fillId="0" borderId="1" xfId="9" applyFont="1" applyBorder="1" applyAlignment="1" applyProtection="1">
      <alignment horizontal="center" vertical="center"/>
    </xf>
    <xf numFmtId="165" fontId="3" fillId="0" borderId="1" xfId="9" applyNumberFormat="1" applyFont="1" applyBorder="1" applyAlignment="1" applyProtection="1">
      <alignment vertical="center"/>
    </xf>
    <xf numFmtId="165" fontId="3" fillId="12" borderId="1" xfId="7" applyNumberFormat="1" applyFont="1" applyFill="1" applyBorder="1" applyAlignment="1" applyProtection="1">
      <alignment vertical="center"/>
      <protection locked="0"/>
    </xf>
    <xf numFmtId="0" fontId="33" fillId="0" borderId="0" xfId="9" applyFont="1" applyAlignment="1" applyProtection="1">
      <alignment horizontal="right" vertical="center"/>
    </xf>
    <xf numFmtId="165" fontId="3" fillId="5" borderId="25" xfId="12" applyNumberFormat="1" applyFont="1" applyFill="1" applyBorder="1" applyAlignment="1" applyProtection="1">
      <alignment vertical="center"/>
      <protection locked="0"/>
    </xf>
    <xf numFmtId="49" fontId="0" fillId="0" borderId="21" xfId="7" applyNumberFormat="1" applyFont="1" applyBorder="1" applyAlignment="1" applyProtection="1">
      <alignment vertical="center"/>
    </xf>
    <xf numFmtId="49" fontId="0" fillId="0" borderId="23" xfId="7" applyNumberFormat="1" applyFont="1" applyBorder="1" applyAlignment="1" applyProtection="1">
      <alignment vertical="center"/>
    </xf>
    <xf numFmtId="0" fontId="9" fillId="0" borderId="1" xfId="9" applyFont="1" applyBorder="1" applyAlignment="1" applyProtection="1">
      <alignment vertical="center"/>
    </xf>
    <xf numFmtId="49" fontId="0" fillId="0" borderId="1" xfId="7" applyNumberFormat="1" applyFont="1" applyBorder="1" applyAlignment="1" applyProtection="1">
      <alignment vertical="center"/>
    </xf>
    <xf numFmtId="0" fontId="3" fillId="0" borderId="0" xfId="9" applyFont="1" applyBorder="1" applyAlignment="1" applyProtection="1">
      <alignment horizontal="left" vertical="center"/>
    </xf>
    <xf numFmtId="0" fontId="4" fillId="0" borderId="9" xfId="9" applyBorder="1" applyAlignment="1" applyProtection="1">
      <alignment vertical="center"/>
    </xf>
    <xf numFmtId="0" fontId="4" fillId="0" borderId="9" xfId="9" applyFont="1" applyBorder="1" applyAlignment="1" applyProtection="1">
      <alignment vertical="center"/>
    </xf>
    <xf numFmtId="0" fontId="3" fillId="0" borderId="0" xfId="9" applyFont="1" applyBorder="1" applyAlignment="1" applyProtection="1">
      <alignment vertical="center"/>
    </xf>
    <xf numFmtId="43" fontId="3" fillId="0" borderId="0" xfId="7" applyFont="1" applyBorder="1" applyAlignment="1" applyProtection="1">
      <alignment horizontal="left" vertical="center"/>
    </xf>
    <xf numFmtId="0" fontId="3" fillId="0" borderId="0" xfId="9" applyFont="1" applyFill="1" applyBorder="1" applyAlignment="1" applyProtection="1">
      <alignment vertical="center"/>
    </xf>
    <xf numFmtId="0" fontId="3" fillId="0" borderId="12" xfId="9" applyFont="1" applyBorder="1" applyAlignment="1" applyProtection="1">
      <alignment vertical="center"/>
    </xf>
    <xf numFmtId="0" fontId="3" fillId="0" borderId="23" xfId="9" applyFont="1" applyBorder="1" applyAlignment="1" applyProtection="1">
      <alignment vertical="center"/>
    </xf>
    <xf numFmtId="0" fontId="3" fillId="0" borderId="1" xfId="9" applyFont="1" applyBorder="1" applyAlignment="1" applyProtection="1">
      <alignment vertical="center"/>
    </xf>
    <xf numFmtId="0" fontId="3" fillId="0" borderId="1" xfId="9" applyFont="1" applyFill="1" applyBorder="1" applyAlignment="1" applyProtection="1">
      <alignment vertical="center"/>
    </xf>
    <xf numFmtId="0" fontId="3" fillId="15" borderId="1" xfId="9" applyFont="1" applyFill="1" applyBorder="1" applyAlignment="1" applyProtection="1">
      <alignment vertical="center"/>
    </xf>
    <xf numFmtId="0" fontId="3" fillId="4" borderId="1" xfId="9" applyFont="1" applyFill="1" applyBorder="1" applyAlignment="1" applyProtection="1">
      <alignment vertical="center"/>
    </xf>
    <xf numFmtId="165" fontId="3" fillId="3" borderId="25" xfId="9" applyNumberFormat="1" applyFont="1" applyFill="1" applyBorder="1" applyAlignment="1" applyProtection="1">
      <alignment vertical="center"/>
    </xf>
    <xf numFmtId="165" fontId="3" fillId="5" borderId="25" xfId="7" applyNumberFormat="1" applyFont="1" applyFill="1" applyBorder="1" applyAlignment="1" applyProtection="1">
      <alignment vertical="center"/>
      <protection locked="0"/>
    </xf>
    <xf numFmtId="165" fontId="3" fillId="5" borderId="16" xfId="7" applyNumberFormat="1" applyFont="1" applyFill="1" applyBorder="1" applyAlignment="1" applyProtection="1">
      <alignment horizontal="center" vertical="center"/>
      <protection locked="0"/>
    </xf>
    <xf numFmtId="165" fontId="3" fillId="3" borderId="1" xfId="9" applyNumberFormat="1" applyFont="1" applyFill="1" applyBorder="1" applyAlignment="1" applyProtection="1">
      <alignment vertical="center"/>
    </xf>
    <xf numFmtId="165" fontId="3" fillId="5" borderId="1" xfId="7" applyNumberFormat="1" applyFont="1" applyFill="1" applyBorder="1" applyAlignment="1" applyProtection="1">
      <alignment vertical="center"/>
      <protection locked="0"/>
    </xf>
    <xf numFmtId="165" fontId="3" fillId="0" borderId="0" xfId="7" applyNumberFormat="1" applyFont="1" applyAlignment="1" applyProtection="1">
      <alignment vertical="center"/>
    </xf>
    <xf numFmtId="49" fontId="3" fillId="0" borderId="0" xfId="9" applyNumberFormat="1" applyFont="1" applyAlignment="1" applyProtection="1">
      <alignment vertical="center"/>
    </xf>
    <xf numFmtId="0" fontId="3" fillId="0" borderId="0" xfId="9" applyFont="1" applyAlignment="1" applyProtection="1">
      <alignment horizontal="right" vertical="center"/>
    </xf>
    <xf numFmtId="9" fontId="3" fillId="0" borderId="7" xfId="11" applyFont="1" applyBorder="1" applyAlignment="1" applyProtection="1">
      <alignment vertical="center"/>
    </xf>
    <xf numFmtId="0" fontId="3" fillId="0" borderId="8" xfId="9" applyFont="1" applyBorder="1" applyAlignment="1" applyProtection="1">
      <alignment vertical="center"/>
    </xf>
    <xf numFmtId="0" fontId="3" fillId="0" borderId="0" xfId="9" applyFont="1" applyBorder="1" applyAlignment="1" applyProtection="1">
      <alignment vertical="center" wrapText="1"/>
    </xf>
    <xf numFmtId="165" fontId="3" fillId="0" borderId="0" xfId="9" applyNumberFormat="1" applyFont="1" applyAlignment="1" applyProtection="1">
      <alignment vertical="center"/>
    </xf>
    <xf numFmtId="165" fontId="3" fillId="0" borderId="1" xfId="9" applyNumberFormat="1" applyFont="1" applyFill="1" applyBorder="1" applyAlignment="1" applyProtection="1">
      <alignment vertical="center"/>
    </xf>
    <xf numFmtId="165" fontId="3" fillId="0" borderId="1" xfId="6" applyNumberFormat="1" applyFont="1" applyBorder="1" applyAlignment="1" applyProtection="1">
      <alignment vertical="center"/>
    </xf>
    <xf numFmtId="9" fontId="3" fillId="0" borderId="1" xfId="11" applyFont="1" applyBorder="1" applyAlignment="1" applyProtection="1">
      <alignment vertical="center"/>
    </xf>
    <xf numFmtId="0" fontId="3" fillId="15" borderId="1" xfId="9" applyFont="1" applyFill="1" applyBorder="1" applyAlignment="1" applyProtection="1">
      <alignment horizontal="center" vertical="center"/>
    </xf>
    <xf numFmtId="3" fontId="26" fillId="15" borderId="1" xfId="9" applyNumberFormat="1" applyFont="1" applyFill="1" applyBorder="1" applyAlignment="1" applyProtection="1">
      <alignment horizontal="center" vertical="center" wrapText="1"/>
    </xf>
    <xf numFmtId="3" fontId="26" fillId="12" borderId="1" xfId="9" applyNumberFormat="1" applyFont="1" applyFill="1" applyBorder="1" applyAlignment="1" applyProtection="1">
      <alignment vertical="center" wrapText="1"/>
      <protection locked="0"/>
    </xf>
    <xf numFmtId="0" fontId="3" fillId="15" borderId="0" xfId="9" applyFont="1" applyFill="1" applyAlignment="1" applyProtection="1">
      <alignment vertical="center"/>
    </xf>
    <xf numFmtId="165" fontId="3" fillId="15" borderId="16" xfId="9" applyNumberFormat="1" applyFont="1" applyFill="1" applyBorder="1" applyAlignment="1" applyProtection="1">
      <alignment horizontal="center" vertical="center"/>
    </xf>
    <xf numFmtId="165" fontId="4" fillId="0" borderId="0" xfId="9" applyNumberFormat="1" applyBorder="1" applyAlignment="1" applyProtection="1">
      <alignment vertical="center"/>
    </xf>
    <xf numFmtId="49" fontId="0" fillId="0" borderId="0" xfId="7" applyNumberFormat="1" applyFont="1" applyBorder="1" applyAlignment="1" applyProtection="1">
      <alignment vertical="center"/>
    </xf>
    <xf numFmtId="165" fontId="3" fillId="15" borderId="11" xfId="9" applyNumberFormat="1" applyFont="1" applyFill="1" applyBorder="1" applyAlignment="1" applyProtection="1">
      <alignment horizontal="right" vertical="center"/>
    </xf>
    <xf numFmtId="165" fontId="36" fillId="0" borderId="6" xfId="9" applyNumberFormat="1" applyFont="1" applyFill="1" applyBorder="1" applyAlignment="1" applyProtection="1">
      <alignment horizontal="right" vertical="center"/>
    </xf>
    <xf numFmtId="165" fontId="36" fillId="0" borderId="1" xfId="9" applyNumberFormat="1" applyFont="1" applyFill="1" applyBorder="1" applyAlignment="1" applyProtection="1">
      <alignment horizontal="right" vertical="center"/>
    </xf>
    <xf numFmtId="165" fontId="36" fillId="0" borderId="21" xfId="9" applyNumberFormat="1" applyFont="1" applyFill="1" applyBorder="1" applyAlignment="1" applyProtection="1">
      <alignment horizontal="right" vertical="center"/>
    </xf>
    <xf numFmtId="0" fontId="3" fillId="15" borderId="1" xfId="9" applyFont="1" applyFill="1" applyBorder="1" applyAlignment="1" applyProtection="1">
      <alignment horizontal="center" vertical="center" textRotation="90" wrapText="1"/>
    </xf>
    <xf numFmtId="0" fontId="3" fillId="15" borderId="0" xfId="9" applyFont="1" applyFill="1" applyAlignment="1" applyProtection="1">
      <alignment vertical="center" wrapText="1"/>
    </xf>
    <xf numFmtId="3" fontId="26" fillId="15" borderId="1" xfId="9" applyNumberFormat="1" applyFont="1" applyFill="1" applyBorder="1" applyAlignment="1" applyProtection="1">
      <alignment horizontal="right" vertical="center" wrapText="1"/>
    </xf>
    <xf numFmtId="168" fontId="26" fillId="15" borderId="1" xfId="9" applyNumberFormat="1" applyFont="1" applyFill="1" applyBorder="1" applyAlignment="1" applyProtection="1">
      <alignment horizontal="right" vertical="center" wrapText="1"/>
    </xf>
    <xf numFmtId="9" fontId="3" fillId="15" borderId="1" xfId="11" applyFont="1" applyFill="1" applyBorder="1" applyAlignment="1" applyProtection="1">
      <alignment vertical="center"/>
    </xf>
    <xf numFmtId="9" fontId="3" fillId="0" borderId="0" xfId="11" applyFont="1" applyAlignment="1" applyProtection="1">
      <alignment vertical="center"/>
    </xf>
    <xf numFmtId="165" fontId="8" fillId="18" borderId="1" xfId="9" applyNumberFormat="1" applyFont="1" applyFill="1" applyBorder="1" applyAlignment="1" applyProtection="1">
      <alignment vertical="center"/>
    </xf>
    <xf numFmtId="165" fontId="3" fillId="0" borderId="0" xfId="6" applyNumberFormat="1" applyFont="1" applyBorder="1" applyAlignment="1" applyProtection="1">
      <alignment vertical="center"/>
    </xf>
    <xf numFmtId="0" fontId="35" fillId="15" borderId="1" xfId="9" applyFont="1" applyFill="1" applyBorder="1" applyAlignment="1" applyProtection="1">
      <alignment horizontal="center" vertical="center" wrapText="1"/>
    </xf>
    <xf numFmtId="0" fontId="3" fillId="15" borderId="0" xfId="9" applyFont="1" applyFill="1" applyAlignment="1" applyProtection="1">
      <alignment horizontal="right" vertical="center"/>
    </xf>
    <xf numFmtId="0" fontId="3" fillId="15" borderId="21" xfId="9" applyFont="1" applyFill="1" applyBorder="1" applyAlignment="1" applyProtection="1">
      <alignment vertical="center"/>
    </xf>
    <xf numFmtId="0" fontId="3" fillId="15" borderId="0" xfId="9" applyFont="1" applyFill="1" applyBorder="1" applyAlignment="1" applyProtection="1">
      <alignment vertical="center" wrapText="1"/>
    </xf>
    <xf numFmtId="0" fontId="3" fillId="15" borderId="0" xfId="9" applyFont="1" applyFill="1" applyBorder="1" applyAlignment="1" applyProtection="1">
      <alignment vertical="center"/>
    </xf>
    <xf numFmtId="0" fontId="9" fillId="15" borderId="21" xfId="9" applyFont="1" applyFill="1" applyBorder="1" applyAlignment="1" applyProtection="1">
      <alignment vertical="center"/>
    </xf>
    <xf numFmtId="0" fontId="3" fillId="15" borderId="12" xfId="9" applyFont="1" applyFill="1" applyBorder="1" applyAlignment="1" applyProtection="1">
      <alignment vertical="center"/>
    </xf>
    <xf numFmtId="164" fontId="0" fillId="3" borderId="1" xfId="0" applyNumberFormat="1" applyFill="1" applyBorder="1" applyAlignment="1" applyProtection="1">
      <alignment vertical="center"/>
    </xf>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17" fillId="0" borderId="21" xfId="0" applyFont="1" applyBorder="1" applyAlignment="1" applyProtection="1">
      <alignment vertical="center"/>
    </xf>
    <xf numFmtId="0" fontId="17" fillId="0" borderId="23" xfId="0" applyFont="1" applyBorder="1" applyAlignment="1" applyProtection="1">
      <alignment vertical="center"/>
    </xf>
    <xf numFmtId="0" fontId="17" fillId="0" borderId="3" xfId="0" applyFont="1" applyBorder="1" applyAlignment="1" applyProtection="1">
      <alignment vertical="center"/>
    </xf>
    <xf numFmtId="0" fontId="17" fillId="0" borderId="23" xfId="0" applyFont="1" applyBorder="1" applyAlignment="1" applyProtection="1">
      <alignment horizontal="right" vertical="center"/>
    </xf>
    <xf numFmtId="165" fontId="3" fillId="15" borderId="1" xfId="11" applyNumberFormat="1" applyFont="1" applyFill="1" applyBorder="1" applyAlignment="1" applyProtection="1">
      <alignment vertical="center"/>
    </xf>
    <xf numFmtId="165" fontId="4" fillId="15" borderId="1" xfId="6" applyNumberFormat="1" applyFont="1" applyFill="1" applyBorder="1" applyAlignment="1" applyProtection="1">
      <alignment vertical="center"/>
    </xf>
    <xf numFmtId="0" fontId="3" fillId="15" borderId="21" xfId="0" applyFont="1" applyFill="1" applyBorder="1" applyAlignment="1" applyProtection="1">
      <alignment vertical="center" wrapText="1"/>
    </xf>
    <xf numFmtId="43" fontId="3" fillId="0" borderId="0" xfId="9" applyNumberFormat="1" applyFont="1" applyAlignment="1" applyProtection="1">
      <alignment vertical="center"/>
    </xf>
    <xf numFmtId="0" fontId="3" fillId="0" borderId="12" xfId="9" applyFont="1" applyBorder="1" applyAlignment="1" applyProtection="1">
      <alignment horizontal="center" vertical="center"/>
    </xf>
    <xf numFmtId="0" fontId="8" fillId="0" borderId="0" xfId="9" applyFont="1" applyAlignment="1" applyProtection="1">
      <alignment vertical="center"/>
    </xf>
    <xf numFmtId="0" fontId="8" fillId="0" borderId="0" xfId="9" applyFont="1" applyBorder="1" applyAlignment="1" applyProtection="1">
      <alignment vertical="center"/>
    </xf>
    <xf numFmtId="9" fontId="3" fillId="18" borderId="1" xfId="11" applyFont="1" applyFill="1" applyBorder="1" applyAlignment="1" applyProtection="1">
      <alignment vertical="center"/>
    </xf>
    <xf numFmtId="165" fontId="3" fillId="3" borderId="21" xfId="9" applyNumberFormat="1" applyFont="1" applyFill="1" applyBorder="1" applyAlignment="1" applyProtection="1">
      <alignment vertical="center"/>
    </xf>
    <xf numFmtId="9" fontId="3" fillId="18" borderId="40" xfId="11" applyFont="1" applyFill="1" applyBorder="1" applyAlignment="1" applyProtection="1">
      <alignment vertical="center"/>
    </xf>
    <xf numFmtId="165" fontId="3" fillId="0" borderId="25" xfId="6" applyNumberFormat="1" applyFont="1" applyBorder="1" applyAlignment="1" applyProtection="1">
      <alignment vertical="center"/>
    </xf>
    <xf numFmtId="0" fontId="0" fillId="0" borderId="21" xfId="0" applyBorder="1" applyAlignment="1" applyProtection="1">
      <alignment vertical="center"/>
    </xf>
    <xf numFmtId="0" fontId="0" fillId="0" borderId="3" xfId="0" applyBorder="1" applyAlignment="1" applyProtection="1">
      <alignment vertical="center"/>
    </xf>
    <xf numFmtId="0" fontId="3" fillId="18" borderId="1" xfId="9" applyFont="1" applyFill="1" applyBorder="1" applyAlignment="1" applyProtection="1">
      <alignment horizontal="center" vertical="center"/>
    </xf>
    <xf numFmtId="3" fontId="26" fillId="18" borderId="1" xfId="9" applyNumberFormat="1" applyFont="1" applyFill="1" applyBorder="1" applyAlignment="1" applyProtection="1">
      <alignment vertical="center" wrapText="1"/>
    </xf>
    <xf numFmtId="0" fontId="3" fillId="18" borderId="25" xfId="9" applyFont="1" applyFill="1" applyBorder="1" applyAlignment="1" applyProtection="1">
      <alignment vertical="center"/>
    </xf>
    <xf numFmtId="0" fontId="3" fillId="18" borderId="26" xfId="9" applyFont="1" applyFill="1" applyBorder="1" applyAlignment="1" applyProtection="1">
      <alignment vertical="center"/>
    </xf>
    <xf numFmtId="0" fontId="3" fillId="18" borderId="0" xfId="9" applyFont="1" applyFill="1" applyAlignment="1" applyProtection="1">
      <alignment vertical="center"/>
    </xf>
    <xf numFmtId="3" fontId="26" fillId="18" borderId="0" xfId="9" applyNumberFormat="1" applyFont="1" applyFill="1" applyBorder="1" applyAlignment="1" applyProtection="1">
      <alignment vertical="center" wrapText="1"/>
    </xf>
    <xf numFmtId="0" fontId="3" fillId="18" borderId="16" xfId="9" applyFont="1" applyFill="1" applyBorder="1" applyAlignment="1" applyProtection="1">
      <alignment vertical="center"/>
    </xf>
    <xf numFmtId="165" fontId="3" fillId="18" borderId="1" xfId="9" applyNumberFormat="1" applyFont="1" applyFill="1" applyBorder="1" applyAlignment="1" applyProtection="1">
      <alignment vertical="center"/>
    </xf>
    <xf numFmtId="0" fontId="3" fillId="19" borderId="0" xfId="9" applyFont="1" applyFill="1" applyAlignment="1" applyProtection="1">
      <alignment vertical="center"/>
    </xf>
    <xf numFmtId="0" fontId="9" fillId="15" borderId="0" xfId="9" quotePrefix="1" applyFont="1" applyFill="1" applyBorder="1" applyAlignment="1" applyProtection="1">
      <alignment vertical="center"/>
    </xf>
    <xf numFmtId="3" fontId="26" fillId="18" borderId="1" xfId="9" applyNumberFormat="1" applyFont="1" applyFill="1" applyBorder="1" applyAlignment="1" applyProtection="1">
      <alignment horizontal="right" vertical="center" wrapText="1"/>
    </xf>
    <xf numFmtId="168" fontId="26" fillId="18" borderId="1" xfId="9" applyNumberFormat="1" applyFont="1" applyFill="1" applyBorder="1" applyAlignment="1" applyProtection="1">
      <alignment horizontal="right" vertical="center" wrapText="1"/>
    </xf>
    <xf numFmtId="165" fontId="3" fillId="18" borderId="1" xfId="6" applyNumberFormat="1" applyFont="1" applyFill="1" applyBorder="1" applyAlignment="1" applyProtection="1">
      <alignment vertical="center"/>
    </xf>
    <xf numFmtId="3" fontId="3" fillId="0" borderId="0" xfId="9" applyNumberFormat="1" applyFont="1" applyAlignment="1" applyProtection="1">
      <alignment vertical="center"/>
    </xf>
    <xf numFmtId="166" fontId="3" fillId="18" borderId="1" xfId="6" applyNumberFormat="1" applyFont="1" applyFill="1" applyBorder="1" applyAlignment="1" applyProtection="1">
      <alignment vertical="center"/>
    </xf>
    <xf numFmtId="164" fontId="3" fillId="18" borderId="1" xfId="9" applyNumberFormat="1" applyFont="1" applyFill="1" applyBorder="1" applyAlignment="1" applyProtection="1">
      <alignment horizontal="right" vertical="center"/>
    </xf>
    <xf numFmtId="164" fontId="3" fillId="18" borderId="1" xfId="9" applyNumberFormat="1" applyFont="1" applyFill="1" applyBorder="1" applyAlignment="1" applyProtection="1">
      <alignment vertical="center"/>
    </xf>
    <xf numFmtId="0" fontId="0" fillId="21" borderId="0" xfId="0" applyFill="1" applyBorder="1" applyAlignment="1" applyProtection="1">
      <alignment vertical="center"/>
    </xf>
    <xf numFmtId="0" fontId="0" fillId="20" borderId="0" xfId="0" applyFill="1" applyBorder="1" applyAlignment="1" applyProtection="1">
      <alignment vertical="center"/>
    </xf>
    <xf numFmtId="165" fontId="14" fillId="3" borderId="21" xfId="6" applyNumberFormat="1" applyFont="1" applyFill="1" applyBorder="1" applyAlignment="1" applyProtection="1">
      <alignment vertical="center"/>
    </xf>
    <xf numFmtId="9" fontId="4" fillId="3" borderId="25" xfId="11" applyFont="1" applyFill="1" applyBorder="1" applyAlignment="1" applyProtection="1">
      <alignment vertical="center"/>
    </xf>
    <xf numFmtId="9" fontId="4" fillId="3" borderId="40" xfId="11" applyFont="1" applyFill="1" applyBorder="1" applyAlignment="1" applyProtection="1">
      <alignment vertical="center"/>
    </xf>
    <xf numFmtId="9" fontId="4" fillId="18" borderId="40" xfId="11" applyFont="1" applyFill="1" applyBorder="1" applyAlignment="1" applyProtection="1">
      <alignment vertical="center"/>
    </xf>
    <xf numFmtId="9" fontId="4" fillId="3" borderId="16" xfId="11" applyFont="1" applyFill="1" applyBorder="1" applyAlignment="1" applyProtection="1">
      <alignment vertical="center"/>
    </xf>
    <xf numFmtId="9" fontId="0" fillId="18" borderId="40" xfId="0" applyNumberFormat="1" applyFill="1" applyBorder="1" applyAlignment="1" applyProtection="1">
      <alignment vertical="center"/>
    </xf>
    <xf numFmtId="9" fontId="0" fillId="0" borderId="1" xfId="0" applyNumberFormat="1" applyBorder="1" applyAlignment="1" applyProtection="1">
      <alignment vertical="center"/>
    </xf>
    <xf numFmtId="0" fontId="3" fillId="0" borderId="0" xfId="0" applyFont="1" applyProtection="1"/>
    <xf numFmtId="9" fontId="3" fillId="15" borderId="9" xfId="11" applyFont="1" applyFill="1" applyBorder="1" applyAlignment="1" applyProtection="1">
      <alignment vertical="center"/>
    </xf>
    <xf numFmtId="165" fontId="3" fillId="15" borderId="16" xfId="7" applyNumberFormat="1" applyFont="1" applyFill="1" applyBorder="1" applyAlignment="1" applyProtection="1">
      <alignment horizontal="center" vertical="center"/>
    </xf>
    <xf numFmtId="165" fontId="3" fillId="15" borderId="16" xfId="12" applyNumberFormat="1" applyFont="1" applyFill="1" applyBorder="1" applyAlignment="1" applyProtection="1">
      <alignment horizontal="center" vertical="center"/>
    </xf>
    <xf numFmtId="165" fontId="3" fillId="15" borderId="21" xfId="12" applyNumberFormat="1" applyFont="1" applyFill="1" applyBorder="1" applyAlignment="1" applyProtection="1">
      <alignment horizontal="center" vertical="center"/>
    </xf>
    <xf numFmtId="0" fontId="3" fillId="15" borderId="0" xfId="0" applyFont="1" applyFill="1" applyProtection="1"/>
    <xf numFmtId="4" fontId="26" fillId="18" borderId="1" xfId="9" applyNumberFormat="1" applyFont="1" applyFill="1" applyBorder="1" applyAlignment="1" applyProtection="1">
      <alignment horizontal="right" vertical="center" wrapText="1"/>
    </xf>
    <xf numFmtId="0" fontId="0" fillId="0" borderId="42" xfId="0" applyFill="1" applyBorder="1" applyAlignment="1" applyProtection="1">
      <alignment vertical="center"/>
    </xf>
    <xf numFmtId="0" fontId="0" fillId="0" borderId="43" xfId="0" applyFill="1" applyBorder="1" applyAlignment="1" applyProtection="1">
      <alignment vertical="center"/>
    </xf>
    <xf numFmtId="9" fontId="0" fillId="0" borderId="43" xfId="0" applyNumberFormat="1" applyFill="1" applyBorder="1" applyAlignment="1" applyProtection="1">
      <alignment vertical="center"/>
    </xf>
    <xf numFmtId="0" fontId="0" fillId="0" borderId="19" xfId="0" applyFill="1" applyBorder="1" applyAlignment="1" applyProtection="1">
      <alignment vertical="center"/>
    </xf>
    <xf numFmtId="0" fontId="15" fillId="0" borderId="0" xfId="0" applyFont="1" applyAlignment="1" applyProtection="1">
      <alignment vertical="center" wrapText="1"/>
    </xf>
    <xf numFmtId="0" fontId="3" fillId="0" borderId="0" xfId="9" applyFont="1" applyAlignment="1" applyProtection="1">
      <alignment vertical="center" wrapText="1"/>
    </xf>
    <xf numFmtId="165" fontId="3" fillId="18" borderId="1" xfId="6" applyNumberFormat="1" applyFont="1" applyFill="1" applyBorder="1" applyAlignment="1" applyProtection="1">
      <alignment horizontal="center" vertical="center"/>
    </xf>
    <xf numFmtId="9" fontId="3" fillId="15" borderId="1" xfId="11" applyFont="1" applyFill="1" applyBorder="1" applyAlignment="1" applyProtection="1">
      <alignment horizontal="right" vertical="center"/>
    </xf>
    <xf numFmtId="0" fontId="3" fillId="0" borderId="1" xfId="9" applyFont="1" applyBorder="1" applyAlignment="1" applyProtection="1">
      <alignment horizontal="center" vertical="center"/>
    </xf>
    <xf numFmtId="0" fontId="3" fillId="15" borderId="1" xfId="9" applyFont="1" applyFill="1" applyBorder="1" applyAlignment="1" applyProtection="1">
      <alignment horizontal="left" vertical="center"/>
    </xf>
    <xf numFmtId="0" fontId="4" fillId="0" borderId="3" xfId="0" applyFont="1" applyBorder="1" applyAlignment="1" applyProtection="1">
      <alignment horizontal="left" vertical="center"/>
    </xf>
    <xf numFmtId="0" fontId="4" fillId="0" borderId="23" xfId="0" applyFont="1" applyBorder="1" applyAlignment="1" applyProtection="1">
      <alignment horizontal="left" vertical="center"/>
    </xf>
    <xf numFmtId="0" fontId="4" fillId="0" borderId="21" xfId="0" applyFont="1" applyBorder="1" applyAlignment="1" applyProtection="1">
      <alignment horizontal="left" vertical="center" wrapText="1"/>
    </xf>
    <xf numFmtId="0" fontId="9" fillId="0" borderId="23" xfId="9" applyFont="1" applyBorder="1" applyAlignment="1" applyProtection="1">
      <alignment horizontal="left" vertical="center"/>
    </xf>
    <xf numFmtId="49" fontId="0" fillId="0" borderId="23" xfId="7" applyNumberFormat="1" applyFont="1" applyBorder="1" applyAlignment="1" applyProtection="1">
      <alignment horizontal="left" vertical="center"/>
    </xf>
    <xf numFmtId="0" fontId="3" fillId="0" borderId="12" xfId="9" applyFont="1" applyBorder="1" applyAlignment="1" applyProtection="1">
      <alignment horizontal="left" vertical="center"/>
    </xf>
    <xf numFmtId="3" fontId="3" fillId="12" borderId="1" xfId="9" applyNumberFormat="1" applyFont="1" applyFill="1" applyBorder="1" applyAlignment="1" applyProtection="1">
      <alignment horizontal="left" vertical="center"/>
      <protection locked="0"/>
    </xf>
    <xf numFmtId="3" fontId="26" fillId="12" borderId="1" xfId="9" applyNumberFormat="1" applyFont="1" applyFill="1" applyBorder="1" applyAlignment="1" applyProtection="1">
      <alignment horizontal="left" vertical="center" wrapText="1"/>
      <protection locked="0"/>
    </xf>
    <xf numFmtId="0" fontId="3" fillId="0" borderId="1" xfId="9" applyFont="1" applyBorder="1" applyAlignment="1" applyProtection="1">
      <alignment horizontal="left" vertical="center"/>
    </xf>
    <xf numFmtId="0" fontId="3" fillId="0" borderId="0" xfId="9" applyFont="1" applyAlignment="1" applyProtection="1">
      <alignment horizontal="left" vertical="center"/>
    </xf>
    <xf numFmtId="0" fontId="3" fillId="0" borderId="0" xfId="9" applyFont="1" applyFill="1" applyBorder="1" applyAlignment="1" applyProtection="1">
      <alignment horizontal="left" vertical="center"/>
    </xf>
    <xf numFmtId="0" fontId="4" fillId="0" borderId="0" xfId="9" applyAlignment="1" applyProtection="1">
      <alignment horizontal="left" vertical="center"/>
    </xf>
    <xf numFmtId="0" fontId="8" fillId="15" borderId="1" xfId="9" applyFont="1" applyFill="1" applyBorder="1" applyAlignment="1" applyProtection="1">
      <alignment horizontal="center" vertical="center" wrapText="1"/>
    </xf>
    <xf numFmtId="0" fontId="8" fillId="0" borderId="1" xfId="9" applyFont="1" applyBorder="1" applyAlignment="1" applyProtection="1">
      <alignment horizontal="center" vertical="center" wrapText="1"/>
    </xf>
    <xf numFmtId="0" fontId="35" fillId="15" borderId="3" xfId="9" applyFont="1" applyFill="1" applyBorder="1" applyAlignment="1" applyProtection="1">
      <alignment horizontal="center" vertical="center" wrapText="1"/>
    </xf>
    <xf numFmtId="0" fontId="35" fillId="0" borderId="21" xfId="9" applyFont="1" applyBorder="1" applyAlignment="1" applyProtection="1">
      <alignment horizontal="center" vertical="center" wrapText="1"/>
    </xf>
    <xf numFmtId="0" fontId="3" fillId="0" borderId="21" xfId="9" applyFont="1" applyBorder="1" applyAlignment="1" applyProtection="1">
      <alignment horizontal="center" vertical="center"/>
    </xf>
    <xf numFmtId="164" fontId="4" fillId="0" borderId="1" xfId="0" applyNumberFormat="1" applyFont="1" applyBorder="1" applyAlignment="1" applyProtection="1">
      <alignment vertical="center" wrapText="1"/>
    </xf>
    <xf numFmtId="0" fontId="38" fillId="0" borderId="1" xfId="0" applyFont="1" applyFill="1" applyBorder="1" applyAlignment="1" applyProtection="1">
      <alignment vertical="center" wrapText="1"/>
    </xf>
    <xf numFmtId="0" fontId="8" fillId="0" borderId="0" xfId="0" applyFont="1" applyProtection="1"/>
    <xf numFmtId="14" fontId="4" fillId="5" borderId="1" xfId="0" applyNumberFormat="1" applyFont="1" applyFill="1" applyBorder="1" applyAlignment="1" applyProtection="1">
      <alignment horizontal="right" vertical="center" wrapText="1"/>
      <protection locked="0"/>
    </xf>
    <xf numFmtId="14" fontId="3" fillId="5" borderId="1" xfId="0" applyNumberFormat="1" applyFont="1" applyFill="1" applyBorder="1" applyAlignment="1" applyProtection="1">
      <alignment horizontal="right" vertical="center" wrapText="1"/>
      <protection locked="0"/>
    </xf>
    <xf numFmtId="0" fontId="3" fillId="0" borderId="0" xfId="9" quotePrefix="1" applyFont="1" applyAlignment="1" applyProtection="1">
      <alignment vertical="center"/>
    </xf>
    <xf numFmtId="0" fontId="8" fillId="15" borderId="1" xfId="9" applyFont="1" applyFill="1" applyBorder="1" applyAlignment="1" applyProtection="1">
      <alignment vertical="center"/>
    </xf>
    <xf numFmtId="9" fontId="3" fillId="18" borderId="1" xfId="11" applyFont="1" applyFill="1" applyBorder="1" applyAlignment="1" applyProtection="1">
      <alignment horizontal="right" vertical="center"/>
    </xf>
    <xf numFmtId="3" fontId="26" fillId="18" borderId="21" xfId="9" applyNumberFormat="1" applyFont="1" applyFill="1" applyBorder="1" applyAlignment="1" applyProtection="1">
      <alignment vertical="center" wrapText="1"/>
    </xf>
    <xf numFmtId="0" fontId="33" fillId="18" borderId="0" xfId="9" applyFont="1" applyFill="1" applyAlignment="1" applyProtection="1">
      <alignment horizontal="right" vertical="center"/>
    </xf>
    <xf numFmtId="0" fontId="0" fillId="0" borderId="0" xfId="0" quotePrefix="1" applyProtection="1"/>
    <xf numFmtId="0" fontId="15" fillId="10" borderId="1" xfId="10" quotePrefix="1" applyFont="1" applyFill="1" applyBorder="1" applyAlignment="1" applyProtection="1">
      <alignment vertical="top" wrapText="1"/>
    </xf>
    <xf numFmtId="0" fontId="15" fillId="10" borderId="1" xfId="10" applyFont="1" applyFill="1" applyBorder="1" applyAlignment="1" applyProtection="1">
      <alignment vertical="top" wrapText="1"/>
    </xf>
    <xf numFmtId="0" fontId="8" fillId="10" borderId="1" xfId="10" applyFont="1" applyFill="1" applyBorder="1" applyAlignment="1" applyProtection="1">
      <alignment vertical="top" wrapText="1"/>
    </xf>
    <xf numFmtId="0" fontId="15" fillId="10" borderId="1" xfId="10" applyFont="1" applyFill="1" applyBorder="1" applyAlignment="1" applyProtection="1">
      <alignment vertical="top"/>
    </xf>
    <xf numFmtId="0" fontId="6" fillId="0" borderId="0" xfId="0" applyFont="1" applyFill="1" applyProtection="1"/>
    <xf numFmtId="0" fontId="15" fillId="7" borderId="1" xfId="10" applyFont="1" applyFill="1" applyBorder="1" applyAlignment="1" applyProtection="1">
      <alignment horizontal="left"/>
    </xf>
    <xf numFmtId="0" fontId="15" fillId="2" borderId="1" xfId="10" applyFont="1" applyFill="1" applyBorder="1" applyAlignment="1" applyProtection="1">
      <alignment horizontal="left" wrapText="1"/>
    </xf>
    <xf numFmtId="0" fontId="15" fillId="6" borderId="1" xfId="10" applyFont="1" applyFill="1" applyBorder="1" applyAlignment="1" applyProtection="1">
      <alignment horizontal="left" wrapText="1"/>
    </xf>
    <xf numFmtId="0" fontId="15" fillId="7" borderId="1" xfId="10" applyFont="1" applyFill="1" applyBorder="1" applyProtection="1"/>
    <xf numFmtId="0" fontId="15" fillId="2" borderId="1" xfId="10" applyFont="1" applyFill="1" applyBorder="1" applyAlignment="1" applyProtection="1">
      <alignment wrapText="1"/>
    </xf>
    <xf numFmtId="0" fontId="15" fillId="6" borderId="1" xfId="10" applyFont="1" applyFill="1" applyBorder="1" applyAlignment="1" applyProtection="1">
      <alignment wrapText="1"/>
    </xf>
    <xf numFmtId="0" fontId="6" fillId="7" borderId="1" xfId="10" applyFont="1" applyFill="1" applyBorder="1" applyProtection="1"/>
    <xf numFmtId="0" fontId="8" fillId="2" borderId="1" xfId="10" applyFont="1" applyFill="1" applyBorder="1" applyAlignment="1" applyProtection="1">
      <alignment vertical="top" wrapText="1"/>
    </xf>
    <xf numFmtId="0" fontId="8" fillId="6" borderId="1" xfId="10" applyFont="1" applyFill="1" applyBorder="1" applyAlignment="1" applyProtection="1">
      <alignment vertical="top" wrapText="1"/>
    </xf>
    <xf numFmtId="0" fontId="15" fillId="2" borderId="1" xfId="10" quotePrefix="1" applyFont="1" applyFill="1" applyBorder="1" applyAlignment="1" applyProtection="1">
      <alignment wrapText="1"/>
    </xf>
    <xf numFmtId="0" fontId="15" fillId="2" borderId="1" xfId="10" applyFont="1" applyFill="1" applyBorder="1" applyAlignment="1" applyProtection="1"/>
    <xf numFmtId="0" fontId="15" fillId="6" borderId="1" xfId="10" applyFont="1" applyFill="1" applyBorder="1" applyProtection="1"/>
    <xf numFmtId="0" fontId="15" fillId="6" borderId="1" xfId="10" quotePrefix="1" applyFont="1" applyFill="1" applyBorder="1" applyAlignment="1" applyProtection="1">
      <alignment wrapText="1"/>
    </xf>
    <xf numFmtId="0" fontId="8" fillId="0" borderId="1" xfId="9" applyFont="1" applyFill="1" applyBorder="1" applyAlignment="1" applyProtection="1">
      <alignment vertical="center"/>
    </xf>
    <xf numFmtId="0" fontId="39" fillId="0" borderId="0" xfId="0" applyFont="1" applyAlignment="1" applyProtection="1">
      <alignment vertical="center" wrapText="1"/>
    </xf>
    <xf numFmtId="0" fontId="39" fillId="15" borderId="0" xfId="9" applyFont="1" applyFill="1" applyAlignment="1" applyProtection="1">
      <alignment vertical="center" wrapText="1"/>
    </xf>
    <xf numFmtId="0" fontId="40" fillId="10" borderId="1" xfId="10" quotePrefix="1" applyFont="1" applyFill="1" applyBorder="1" applyAlignment="1" applyProtection="1">
      <alignment vertical="top" wrapText="1"/>
    </xf>
    <xf numFmtId="0" fontId="40" fillId="10" borderId="1" xfId="10" applyFont="1" applyFill="1" applyBorder="1" applyAlignment="1" applyProtection="1">
      <alignment vertical="top" wrapText="1"/>
    </xf>
    <xf numFmtId="0" fontId="3" fillId="12" borderId="1" xfId="9" applyFont="1" applyFill="1" applyBorder="1" applyAlignment="1" applyProtection="1">
      <alignment vertical="center" wrapText="1"/>
      <protection locked="0"/>
    </xf>
    <xf numFmtId="0" fontId="15" fillId="10" borderId="0" xfId="10" applyFont="1" applyFill="1" applyBorder="1" applyAlignment="1" applyProtection="1">
      <alignment horizontal="left" vertical="top"/>
    </xf>
    <xf numFmtId="0" fontId="3" fillId="12" borderId="3" xfId="9" applyFont="1" applyFill="1" applyBorder="1" applyAlignment="1" applyProtection="1">
      <alignment horizontal="right" vertical="center" wrapText="1"/>
      <protection locked="0"/>
    </xf>
    <xf numFmtId="165" fontId="3" fillId="18" borderId="1" xfId="14" applyNumberFormat="1" applyFont="1" applyFill="1" applyBorder="1" applyAlignment="1" applyProtection="1">
      <alignment vertical="center"/>
    </xf>
    <xf numFmtId="165" fontId="3" fillId="18" borderId="1" xfId="12" applyNumberFormat="1" applyFont="1" applyFill="1" applyBorder="1" applyAlignment="1" applyProtection="1">
      <alignment vertical="center"/>
    </xf>
    <xf numFmtId="0" fontId="3" fillId="18" borderId="1" xfId="0" applyNumberFormat="1" applyFont="1" applyFill="1" applyBorder="1" applyAlignment="1" applyProtection="1">
      <alignment horizontal="right" vertical="center" wrapText="1"/>
    </xf>
    <xf numFmtId="0" fontId="46" fillId="10" borderId="1" xfId="10" applyFont="1" applyFill="1" applyBorder="1" applyAlignment="1" applyProtection="1">
      <alignment vertical="top"/>
    </xf>
    <xf numFmtId="0" fontId="46" fillId="2" borderId="1" xfId="10" applyFont="1" applyFill="1" applyBorder="1" applyAlignment="1" applyProtection="1">
      <alignment wrapText="1"/>
    </xf>
    <xf numFmtId="0" fontId="46" fillId="6" borderId="1" xfId="10" applyFont="1" applyFill="1" applyBorder="1" applyProtection="1"/>
    <xf numFmtId="0" fontId="41" fillId="0" borderId="0" xfId="16" applyFont="1"/>
    <xf numFmtId="0" fontId="1" fillId="0" borderId="0" xfId="16"/>
    <xf numFmtId="0" fontId="1" fillId="0" borderId="0" xfId="16" applyAlignment="1">
      <alignment wrapText="1"/>
    </xf>
    <xf numFmtId="0" fontId="42" fillId="0" borderId="27" xfId="16" applyFont="1" applyBorder="1"/>
    <xf numFmtId="0" fontId="1" fillId="0" borderId="44" xfId="16" applyBorder="1" applyAlignment="1">
      <alignment horizontal="center"/>
    </xf>
    <xf numFmtId="0" fontId="1" fillId="0" borderId="4" xfId="16" applyBorder="1"/>
    <xf numFmtId="0" fontId="1" fillId="0" borderId="2" xfId="16" applyBorder="1" applyAlignment="1">
      <alignment horizontal="center"/>
    </xf>
    <xf numFmtId="0" fontId="43" fillId="0" borderId="45" xfId="16" applyFont="1" applyFill="1" applyBorder="1" applyAlignment="1" applyProtection="1">
      <alignment vertical="center" wrapText="1"/>
    </xf>
    <xf numFmtId="0" fontId="1" fillId="0" borderId="14" xfId="16" applyBorder="1"/>
    <xf numFmtId="0" fontId="1" fillId="0" borderId="18" xfId="16" applyBorder="1" applyAlignment="1">
      <alignment horizontal="center"/>
    </xf>
    <xf numFmtId="0" fontId="44" fillId="0" borderId="46" xfId="16" applyFont="1" applyFill="1" applyBorder="1" applyAlignment="1" applyProtection="1">
      <alignment vertical="center" wrapText="1"/>
    </xf>
    <xf numFmtId="0" fontId="1" fillId="0" borderId="44" xfId="16" applyFill="1" applyBorder="1" applyAlignment="1">
      <alignment horizontal="center"/>
    </xf>
    <xf numFmtId="0" fontId="44" fillId="0" borderId="50" xfId="16" applyFont="1" applyFill="1" applyBorder="1" applyAlignment="1" applyProtection="1">
      <alignment vertical="center" wrapText="1"/>
    </xf>
    <xf numFmtId="0" fontId="1" fillId="0" borderId="2" xfId="16" applyFont="1" applyFill="1" applyBorder="1" applyAlignment="1">
      <alignment horizontal="center"/>
    </xf>
    <xf numFmtId="0" fontId="1" fillId="0" borderId="2" xfId="16" applyFill="1" applyBorder="1" applyAlignment="1">
      <alignment horizontal="center"/>
    </xf>
    <xf numFmtId="0" fontId="43" fillId="0" borderId="47" xfId="16" applyFont="1" applyFill="1" applyBorder="1" applyAlignment="1" applyProtection="1">
      <alignment vertical="center" wrapText="1"/>
    </xf>
    <xf numFmtId="0" fontId="1" fillId="0" borderId="18" xfId="16" applyFill="1" applyBorder="1" applyAlignment="1">
      <alignment horizontal="center"/>
    </xf>
    <xf numFmtId="0" fontId="1" fillId="17" borderId="2" xfId="16" applyFill="1" applyBorder="1" applyAlignment="1">
      <alignment horizontal="center"/>
    </xf>
    <xf numFmtId="0" fontId="1" fillId="17" borderId="18" xfId="16" applyFill="1" applyBorder="1" applyAlignment="1">
      <alignment horizontal="center"/>
    </xf>
    <xf numFmtId="0" fontId="42" fillId="0" borderId="48" xfId="16" applyFont="1" applyBorder="1"/>
    <xf numFmtId="0" fontId="1" fillId="0" borderId="49" xfId="16" applyBorder="1" applyAlignment="1">
      <alignment horizontal="center"/>
    </xf>
    <xf numFmtId="0" fontId="43" fillId="0" borderId="51" xfId="16" applyFont="1" applyFill="1" applyBorder="1" applyAlignment="1" applyProtection="1">
      <alignment vertical="center" wrapText="1"/>
    </xf>
    <xf numFmtId="0" fontId="43" fillId="0" borderId="3" xfId="16" applyFont="1" applyFill="1" applyBorder="1" applyAlignment="1" applyProtection="1">
      <alignment vertical="center" wrapText="1"/>
    </xf>
    <xf numFmtId="0" fontId="43" fillId="0" borderId="36" xfId="16" applyFont="1" applyFill="1" applyBorder="1" applyAlignment="1" applyProtection="1">
      <alignment vertical="center" wrapText="1"/>
    </xf>
    <xf numFmtId="0" fontId="45" fillId="0" borderId="3" xfId="16" applyFont="1" applyFill="1" applyBorder="1" applyAlignment="1" applyProtection="1">
      <alignment vertical="center" wrapText="1"/>
    </xf>
    <xf numFmtId="0" fontId="43" fillId="0" borderId="52" xfId="16" applyFont="1" applyFill="1" applyBorder="1" applyAlignment="1" applyProtection="1">
      <alignment vertical="center" wrapText="1"/>
    </xf>
    <xf numFmtId="0" fontId="47" fillId="10" borderId="1" xfId="10" quotePrefix="1" applyFont="1" applyFill="1" applyBorder="1" applyAlignment="1" applyProtection="1">
      <alignment vertical="top" wrapText="1"/>
    </xf>
    <xf numFmtId="0" fontId="47" fillId="2" borderId="1" xfId="10" applyFont="1" applyFill="1" applyBorder="1" applyAlignment="1" applyProtection="1">
      <alignment wrapText="1"/>
    </xf>
    <xf numFmtId="0" fontId="47" fillId="6" borderId="1" xfId="10" quotePrefix="1" applyFont="1" applyFill="1" applyBorder="1" applyAlignment="1" applyProtection="1">
      <alignment wrapText="1"/>
    </xf>
    <xf numFmtId="3" fontId="26" fillId="12" borderId="1" xfId="9" applyNumberFormat="1" applyFont="1" applyFill="1" applyBorder="1" applyAlignment="1" applyProtection="1">
      <alignment horizontal="center" vertical="center" wrapText="1"/>
      <protection locked="0"/>
    </xf>
    <xf numFmtId="0" fontId="48" fillId="10" borderId="1" xfId="10" applyFont="1" applyFill="1" applyBorder="1" applyAlignment="1" applyProtection="1">
      <alignment horizontal="left" vertical="top" wrapText="1"/>
    </xf>
    <xf numFmtId="0" fontId="48" fillId="2" borderId="1" xfId="10" applyFont="1" applyFill="1" applyBorder="1" applyAlignment="1" applyProtection="1">
      <alignment wrapText="1"/>
    </xf>
    <xf numFmtId="0" fontId="48" fillId="6" borderId="1" xfId="10" applyFont="1" applyFill="1" applyBorder="1" applyAlignment="1" applyProtection="1">
      <alignment wrapText="1"/>
    </xf>
    <xf numFmtId="0" fontId="15" fillId="5" borderId="0" xfId="10" applyFont="1" applyFill="1" applyAlignment="1" applyProtection="1">
      <alignment horizontal="center"/>
    </xf>
    <xf numFmtId="169" fontId="14" fillId="3" borderId="1" xfId="6" applyNumberFormat="1" applyFont="1" applyFill="1" applyBorder="1" applyAlignment="1" applyProtection="1">
      <alignment vertical="center"/>
    </xf>
    <xf numFmtId="165" fontId="3" fillId="0" borderId="1" xfId="12" applyNumberFormat="1" applyFont="1" applyFill="1" applyBorder="1" applyAlignment="1" applyProtection="1">
      <alignment vertical="center"/>
    </xf>
    <xf numFmtId="0" fontId="0" fillId="17" borderId="0" xfId="0" applyFill="1" applyProtection="1"/>
    <xf numFmtId="2" fontId="1" fillId="0" borderId="0" xfId="16" applyNumberFormat="1"/>
    <xf numFmtId="2" fontId="0" fillId="0" borderId="0" xfId="0" applyNumberFormat="1" applyProtection="1"/>
    <xf numFmtId="0" fontId="3" fillId="0" borderId="0" xfId="9" applyFont="1" applyFill="1" applyAlignment="1" applyProtection="1">
      <alignment vertical="center"/>
    </xf>
    <xf numFmtId="49" fontId="3" fillId="0" borderId="0" xfId="9" applyNumberFormat="1" applyFont="1" applyFill="1" applyAlignment="1" applyProtection="1">
      <alignment vertical="center"/>
    </xf>
    <xf numFmtId="165" fontId="3" fillId="0" borderId="0" xfId="12" applyNumberFormat="1" applyFont="1" applyFill="1" applyBorder="1" applyAlignment="1" applyProtection="1">
      <alignment horizontal="left" vertical="center"/>
    </xf>
    <xf numFmtId="43" fontId="3" fillId="0" borderId="0" xfId="12" applyFont="1" applyFill="1" applyBorder="1" applyAlignment="1" applyProtection="1">
      <alignment horizontal="left" vertical="center"/>
    </xf>
    <xf numFmtId="0" fontId="1" fillId="17" borderId="53" xfId="16" applyFill="1" applyBorder="1" applyAlignment="1">
      <alignment horizontal="center"/>
    </xf>
    <xf numFmtId="0" fontId="43" fillId="0" borderId="4" xfId="16" applyFont="1" applyFill="1" applyBorder="1" applyAlignment="1" applyProtection="1">
      <alignment vertical="center" wrapText="1"/>
    </xf>
    <xf numFmtId="0" fontId="1" fillId="0" borderId="41" xfId="16" applyBorder="1" applyAlignment="1">
      <alignment horizontal="center"/>
    </xf>
    <xf numFmtId="0" fontId="8" fillId="16" borderId="0" xfId="0" applyFont="1" applyFill="1" applyBorder="1" applyAlignment="1" applyProtection="1">
      <alignment horizontal="left" vertical="center" wrapText="1"/>
    </xf>
    <xf numFmtId="0" fontId="8" fillId="16" borderId="5" xfId="0" applyFont="1" applyFill="1" applyBorder="1" applyAlignment="1" applyProtection="1">
      <alignment horizontal="left" vertical="center" wrapText="1"/>
    </xf>
    <xf numFmtId="0" fontId="3" fillId="16" borderId="0" xfId="0" applyFont="1" applyFill="1" applyBorder="1" applyAlignment="1" applyProtection="1">
      <alignment horizontal="left" wrapText="1"/>
    </xf>
    <xf numFmtId="0" fontId="3" fillId="16" borderId="5" xfId="0" applyFont="1" applyFill="1" applyBorder="1" applyAlignment="1" applyProtection="1">
      <alignment horizontal="left" wrapText="1"/>
    </xf>
    <xf numFmtId="0" fontId="3" fillId="16" borderId="0" xfId="0" applyFont="1" applyFill="1" applyBorder="1" applyAlignment="1" applyProtection="1">
      <alignment horizontal="left" vertical="top" wrapText="1"/>
    </xf>
    <xf numFmtId="0" fontId="3" fillId="16" borderId="5" xfId="0" applyFont="1" applyFill="1" applyBorder="1" applyAlignment="1" applyProtection="1">
      <alignment horizontal="left" vertical="top" wrapText="1"/>
    </xf>
    <xf numFmtId="0" fontId="4" fillId="0" borderId="27" xfId="8" applyFill="1" applyBorder="1" applyAlignment="1" applyProtection="1">
      <alignment vertical="center"/>
    </xf>
    <xf numFmtId="0" fontId="4" fillId="0" borderId="28" xfId="8" applyFill="1" applyBorder="1" applyAlignment="1" applyProtection="1">
      <alignment vertical="center"/>
    </xf>
    <xf numFmtId="0" fontId="4" fillId="0" borderId="29" xfId="8" applyFill="1" applyBorder="1" applyAlignment="1" applyProtection="1">
      <alignment vertical="center"/>
    </xf>
    <xf numFmtId="0" fontId="7" fillId="0" borderId="30" xfId="8" applyFont="1" applyFill="1" applyBorder="1" applyAlignment="1" applyProtection="1">
      <alignment horizontal="center" vertical="center" wrapText="1"/>
    </xf>
    <xf numFmtId="0" fontId="7" fillId="0" borderId="31" xfId="8" applyFont="1" applyFill="1" applyBorder="1" applyAlignment="1" applyProtection="1">
      <alignment horizontal="center" vertical="center" wrapText="1"/>
    </xf>
    <xf numFmtId="0" fontId="7" fillId="0" borderId="32" xfId="8" applyFont="1" applyFill="1" applyBorder="1" applyAlignment="1" applyProtection="1">
      <alignment horizontal="center" vertical="center" wrapText="1"/>
    </xf>
    <xf numFmtId="0" fontId="20" fillId="0" borderId="21" xfId="0" applyFont="1" applyBorder="1" applyAlignment="1" applyProtection="1">
      <alignment horizontal="center" vertical="center"/>
    </xf>
    <xf numFmtId="0" fontId="20" fillId="0" borderId="33" xfId="0" applyFont="1" applyBorder="1" applyAlignment="1" applyProtection="1">
      <alignment horizontal="center" vertical="center"/>
    </xf>
    <xf numFmtId="0" fontId="4" fillId="0" borderId="34" xfId="8" applyFont="1" applyFill="1" applyBorder="1" applyAlignment="1" applyProtection="1">
      <alignment horizontal="right" vertical="center" wrapText="1"/>
    </xf>
    <xf numFmtId="0" fontId="4" fillId="0" borderId="35" xfId="8" applyFont="1" applyFill="1" applyBorder="1" applyAlignment="1" applyProtection="1">
      <alignment horizontal="right" vertical="center" wrapText="1"/>
    </xf>
    <xf numFmtId="0" fontId="4" fillId="0" borderId="36" xfId="8" applyFont="1" applyFill="1" applyBorder="1" applyAlignment="1" applyProtection="1">
      <alignment horizontal="right" vertical="center" wrapText="1"/>
    </xf>
    <xf numFmtId="0" fontId="30" fillId="0" borderId="21" xfId="3" applyFont="1" applyFill="1" applyBorder="1" applyAlignment="1" applyProtection="1">
      <alignment horizontal="left" vertical="center"/>
    </xf>
    <xf numFmtId="0" fontId="30" fillId="0" borderId="3" xfId="3" applyFont="1" applyFill="1" applyBorder="1" applyAlignment="1" applyProtection="1">
      <alignment horizontal="left" vertical="center"/>
    </xf>
    <xf numFmtId="0" fontId="23" fillId="0" borderId="0" xfId="8" applyFont="1" applyFill="1" applyBorder="1" applyAlignment="1" applyProtection="1">
      <alignment horizontal="left" vertical="center"/>
    </xf>
    <xf numFmtId="0" fontId="23" fillId="0" borderId="5" xfId="8" applyFont="1" applyFill="1" applyBorder="1" applyAlignment="1" applyProtection="1">
      <alignment horizontal="left" vertical="center"/>
    </xf>
    <xf numFmtId="0" fontId="23" fillId="0" borderId="15" xfId="8" applyFont="1" applyFill="1" applyBorder="1" applyAlignment="1" applyProtection="1">
      <alignment horizontal="left" vertical="top"/>
    </xf>
    <xf numFmtId="0" fontId="23" fillId="0" borderId="37" xfId="8" applyFont="1" applyFill="1" applyBorder="1" applyAlignment="1" applyProtection="1">
      <alignment horizontal="left" vertical="top"/>
    </xf>
    <xf numFmtId="0" fontId="6" fillId="0" borderId="11" xfId="8" applyFont="1" applyFill="1" applyBorder="1" applyAlignment="1" applyProtection="1">
      <alignment horizontal="left" vertical="center"/>
    </xf>
    <xf numFmtId="0" fontId="6" fillId="0" borderId="13" xfId="8" applyFont="1" applyFill="1" applyBorder="1" applyAlignment="1" applyProtection="1">
      <alignment horizontal="left" vertical="center"/>
    </xf>
    <xf numFmtId="0" fontId="13" fillId="0" borderId="0" xfId="0" applyFont="1" applyAlignment="1" applyProtection="1">
      <alignment horizontal="left" vertical="center"/>
    </xf>
    <xf numFmtId="0" fontId="12" fillId="8" borderId="14" xfId="8" applyFont="1" applyFill="1" applyBorder="1" applyAlignment="1" applyProtection="1">
      <alignment horizontal="center" vertical="center"/>
    </xf>
    <xf numFmtId="0" fontId="12" fillId="8" borderId="15" xfId="8" applyFont="1" applyFill="1" applyBorder="1" applyAlignment="1" applyProtection="1">
      <alignment horizontal="center" vertical="center"/>
    </xf>
    <xf numFmtId="0" fontId="12" fillId="8" borderId="37" xfId="8" applyFont="1" applyFill="1" applyBorder="1" applyAlignment="1" applyProtection="1">
      <alignment horizontal="center" vertical="center"/>
    </xf>
    <xf numFmtId="0" fontId="3" fillId="0" borderId="0" xfId="0" applyFont="1" applyAlignment="1" applyProtection="1">
      <alignment horizontal="right"/>
    </xf>
    <xf numFmtId="0" fontId="4" fillId="0" borderId="0" xfId="0" applyFont="1" applyAlignment="1" applyProtection="1">
      <alignment horizontal="right"/>
    </xf>
    <xf numFmtId="0" fontId="8" fillId="0" borderId="0" xfId="0" applyFont="1" applyAlignment="1" applyProtection="1">
      <alignment horizontal="left" vertical="center"/>
    </xf>
    <xf numFmtId="0" fontId="4" fillId="0" borderId="0" xfId="0" applyFont="1" applyAlignment="1" applyProtection="1">
      <alignment horizontal="left" vertical="center" wrapText="1"/>
    </xf>
    <xf numFmtId="0" fontId="4" fillId="0" borderId="0" xfId="0" applyFont="1" applyAlignment="1" applyProtection="1">
      <alignment horizontal="left"/>
    </xf>
    <xf numFmtId="0" fontId="4" fillId="8" borderId="0" xfId="0" applyFont="1" applyFill="1" applyAlignment="1" applyProtection="1">
      <alignment horizontal="left" vertical="center" wrapText="1"/>
    </xf>
    <xf numFmtId="0" fontId="4" fillId="8" borderId="0" xfId="8" applyFont="1" applyFill="1" applyBorder="1" applyAlignment="1" applyProtection="1">
      <alignment horizontal="left" vertical="center" wrapText="1"/>
    </xf>
    <xf numFmtId="0" fontId="4" fillId="8" borderId="0" xfId="8" applyFont="1" applyFill="1" applyBorder="1" applyAlignment="1" applyProtection="1">
      <alignment horizontal="left" vertical="center"/>
    </xf>
    <xf numFmtId="0" fontId="4" fillId="0" borderId="0" xfId="0" applyFont="1" applyFill="1" applyAlignment="1" applyProtection="1">
      <alignment horizontal="left" vertical="center" wrapText="1"/>
    </xf>
    <xf numFmtId="0" fontId="0" fillId="0" borderId="0" xfId="0" applyAlignment="1" applyProtection="1">
      <alignment horizontal="left" vertical="center"/>
    </xf>
    <xf numFmtId="0" fontId="24" fillId="0" borderId="0" xfId="0" applyFont="1" applyAlignment="1" applyProtection="1">
      <alignment horizontal="center" vertical="center"/>
    </xf>
    <xf numFmtId="0" fontId="16" fillId="0" borderId="21"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16" fillId="0" borderId="3" xfId="0" applyFont="1" applyFill="1" applyBorder="1" applyAlignment="1" applyProtection="1">
      <alignment horizontal="left" vertical="center"/>
    </xf>
    <xf numFmtId="0" fontId="24" fillId="0" borderId="0" xfId="0" applyNumberFormat="1" applyFont="1" applyAlignment="1" applyProtection="1">
      <alignment horizontal="center" vertical="center" wrapText="1"/>
    </xf>
    <xf numFmtId="0" fontId="9" fillId="0" borderId="6"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3" xfId="0" applyFont="1" applyBorder="1" applyAlignment="1" applyProtection="1">
      <alignment horizontal="center" vertical="center"/>
    </xf>
    <xf numFmtId="0" fontId="4" fillId="0" borderId="0" xfId="0" applyFont="1" applyAlignment="1" applyProtection="1">
      <alignment horizontal="left" vertical="center"/>
    </xf>
    <xf numFmtId="0" fontId="18" fillId="0" borderId="0" xfId="0" applyFont="1" applyAlignment="1" applyProtection="1">
      <alignment horizontal="center" vertical="center" wrapText="1"/>
    </xf>
    <xf numFmtId="49" fontId="24" fillId="0" borderId="0" xfId="0" applyNumberFormat="1" applyFont="1" applyAlignment="1" applyProtection="1">
      <alignment horizontal="center" vertical="center"/>
    </xf>
    <xf numFmtId="0" fontId="4" fillId="0" borderId="1" xfId="0" applyFont="1" applyFill="1" applyBorder="1" applyAlignment="1" applyProtection="1">
      <alignment horizontal="left" vertical="center"/>
    </xf>
    <xf numFmtId="0" fontId="0" fillId="0" borderId="21" xfId="0" applyBorder="1" applyProtection="1"/>
    <xf numFmtId="0" fontId="0" fillId="0" borderId="23" xfId="0" applyBorder="1" applyProtection="1"/>
    <xf numFmtId="0" fontId="0" fillId="0" borderId="3" xfId="0" applyBorder="1" applyProtection="1"/>
    <xf numFmtId="0" fontId="4" fillId="0" borderId="1" xfId="0" applyFont="1" applyBorder="1" applyAlignment="1" applyProtection="1">
      <alignment horizontal="left" vertical="center"/>
    </xf>
    <xf numFmtId="0" fontId="4" fillId="0" borderId="0" xfId="0" applyFont="1" applyFill="1" applyBorder="1" applyAlignment="1" applyProtection="1">
      <alignment horizontal="left" vertical="center"/>
    </xf>
    <xf numFmtId="49" fontId="4" fillId="0" borderId="21" xfId="0" applyNumberFormat="1" applyFont="1" applyFill="1" applyBorder="1" applyAlignment="1" applyProtection="1">
      <alignment horizontal="left" vertical="center"/>
    </xf>
    <xf numFmtId="0" fontId="4" fillId="0" borderId="23"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17" fillId="0" borderId="21" xfId="0" applyFont="1" applyBorder="1" applyAlignment="1" applyProtection="1">
      <alignment horizontal="left" vertical="center"/>
    </xf>
    <xf numFmtId="0" fontId="17" fillId="0" borderId="23" xfId="0" applyFont="1" applyBorder="1" applyAlignment="1" applyProtection="1">
      <alignment horizontal="left" vertical="center"/>
    </xf>
    <xf numFmtId="0" fontId="17" fillId="0" borderId="7" xfId="0" applyFont="1" applyBorder="1" applyAlignment="1" applyProtection="1">
      <alignment horizontal="left" vertical="center"/>
    </xf>
    <xf numFmtId="0" fontId="17" fillId="0" borderId="3" xfId="0" applyFont="1" applyBorder="1" applyAlignment="1" applyProtection="1">
      <alignment horizontal="left" vertical="center"/>
    </xf>
    <xf numFmtId="0" fontId="38" fillId="0" borderId="21" xfId="0" applyFont="1" applyFill="1" applyBorder="1" applyAlignment="1" applyProtection="1">
      <alignment horizontal="left" vertical="center"/>
    </xf>
    <xf numFmtId="0" fontId="38" fillId="0" borderId="23" xfId="0" applyFont="1" applyFill="1" applyBorder="1" applyAlignment="1" applyProtection="1">
      <alignment horizontal="left" vertical="center"/>
    </xf>
    <xf numFmtId="0" fontId="38" fillId="0" borderId="3" xfId="0" applyFont="1" applyFill="1" applyBorder="1" applyAlignment="1" applyProtection="1">
      <alignment horizontal="left" vertical="center"/>
    </xf>
    <xf numFmtId="9" fontId="4" fillId="3" borderId="38" xfId="11" applyFont="1" applyFill="1" applyBorder="1" applyAlignment="1" applyProtection="1">
      <alignment horizontal="right" vertical="center"/>
    </xf>
    <xf numFmtId="9" fontId="4" fillId="3" borderId="39" xfId="11" applyFont="1" applyFill="1" applyBorder="1" applyAlignment="1" applyProtection="1">
      <alignment horizontal="right" vertical="center"/>
    </xf>
    <xf numFmtId="0" fontId="4" fillId="0" borderId="25"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165" fontId="4" fillId="15" borderId="25" xfId="6" applyNumberFormat="1" applyFont="1" applyFill="1" applyBorder="1" applyAlignment="1" applyProtection="1">
      <alignment horizontal="center" vertical="center"/>
    </xf>
    <xf numFmtId="165" fontId="4" fillId="15" borderId="16" xfId="6" applyNumberFormat="1" applyFont="1" applyFill="1" applyBorder="1" applyAlignment="1" applyProtection="1">
      <alignment horizontal="center" vertical="center"/>
    </xf>
    <xf numFmtId="0" fontId="0" fillId="0" borderId="41" xfId="0" applyBorder="1" applyAlignment="1" applyProtection="1">
      <alignment horizontal="left" vertical="center"/>
    </xf>
    <xf numFmtId="0" fontId="0" fillId="0" borderId="17" xfId="0" applyBorder="1" applyAlignment="1" applyProtection="1">
      <alignment horizontal="left" vertical="center"/>
    </xf>
    <xf numFmtId="0" fontId="3" fillId="18" borderId="21" xfId="0" applyFont="1" applyFill="1" applyBorder="1" applyAlignment="1" applyProtection="1">
      <alignment horizontal="left" vertical="center" wrapText="1"/>
    </xf>
    <xf numFmtId="0" fontId="3" fillId="18" borderId="23" xfId="0" applyFont="1" applyFill="1" applyBorder="1" applyAlignment="1" applyProtection="1">
      <alignment horizontal="left" vertical="center" wrapText="1"/>
    </xf>
    <xf numFmtId="0" fontId="3" fillId="18" borderId="3" xfId="0" applyFont="1" applyFill="1" applyBorder="1" applyAlignment="1" applyProtection="1">
      <alignment horizontal="left" vertical="center" wrapText="1"/>
    </xf>
    <xf numFmtId="0" fontId="4" fillId="15" borderId="0" xfId="0" applyFont="1" applyFill="1" applyAlignment="1" applyProtection="1">
      <alignment horizontal="left" vertical="center" wrapText="1"/>
    </xf>
    <xf numFmtId="0" fontId="0" fillId="15" borderId="0" xfId="0" applyFill="1" applyAlignment="1" applyProtection="1">
      <alignment horizontal="left" vertical="center" wrapText="1"/>
    </xf>
    <xf numFmtId="0" fontId="0" fillId="0" borderId="6" xfId="0" applyBorder="1" applyAlignment="1" applyProtection="1">
      <alignment horizontal="center" vertical="center"/>
    </xf>
    <xf numFmtId="0" fontId="0" fillId="0" borderId="8" xfId="0" applyBorder="1" applyAlignment="1" applyProtection="1">
      <alignment horizontal="center" vertical="center"/>
    </xf>
    <xf numFmtId="0" fontId="0" fillId="0" borderId="11" xfId="0" applyBorder="1" applyAlignment="1" applyProtection="1">
      <alignment horizontal="center" vertical="center"/>
    </xf>
    <xf numFmtId="0" fontId="0" fillId="0" borderId="13" xfId="0" applyBorder="1" applyAlignment="1" applyProtection="1">
      <alignment horizontal="center" vertical="center"/>
    </xf>
    <xf numFmtId="0" fontId="9" fillId="0" borderId="2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3" xfId="0" applyFont="1" applyBorder="1" applyAlignment="1" applyProtection="1">
      <alignment horizontal="center" vertical="center"/>
    </xf>
    <xf numFmtId="0" fontId="6" fillId="0" borderId="21" xfId="0" applyFont="1" applyBorder="1" applyAlignment="1" applyProtection="1">
      <alignment horizontal="right" vertical="center"/>
    </xf>
    <xf numFmtId="0" fontId="6" fillId="0" borderId="23" xfId="0" applyFont="1" applyBorder="1" applyAlignment="1" applyProtection="1">
      <alignment horizontal="right" vertical="center"/>
    </xf>
    <xf numFmtId="0" fontId="0" fillId="0" borderId="0" xfId="0" applyProtection="1"/>
    <xf numFmtId="43" fontId="0" fillId="0" borderId="21" xfId="6" applyFont="1" applyBorder="1" applyAlignment="1" applyProtection="1">
      <alignment horizontal="left" vertical="center"/>
    </xf>
    <xf numFmtId="43" fontId="0" fillId="0" borderId="23" xfId="6" applyFont="1" applyBorder="1" applyAlignment="1" applyProtection="1">
      <alignment horizontal="left" vertical="center"/>
    </xf>
    <xf numFmtId="0" fontId="4" fillId="0" borderId="21" xfId="0" applyFont="1" applyBorder="1" applyAlignment="1" applyProtection="1">
      <alignment horizontal="left" vertical="center"/>
    </xf>
    <xf numFmtId="0" fontId="4" fillId="0" borderId="3" xfId="0" applyFont="1" applyBorder="1" applyAlignment="1" applyProtection="1">
      <alignment horizontal="left" vertical="center"/>
    </xf>
    <xf numFmtId="43" fontId="0" fillId="0" borderId="3" xfId="6" applyFont="1" applyBorder="1" applyAlignment="1" applyProtection="1">
      <alignment horizontal="left" vertical="center"/>
    </xf>
    <xf numFmtId="0" fontId="3" fillId="13" borderId="21" xfId="0" applyNumberFormat="1" applyFont="1" applyFill="1" applyBorder="1" applyAlignment="1" applyProtection="1">
      <alignment horizontal="left" vertical="top" wrapText="1"/>
      <protection locked="0"/>
    </xf>
    <xf numFmtId="0" fontId="4" fillId="13" borderId="23" xfId="0" applyNumberFormat="1" applyFont="1" applyFill="1" applyBorder="1" applyAlignment="1" applyProtection="1">
      <alignment horizontal="left" vertical="top" wrapText="1"/>
      <protection locked="0"/>
    </xf>
    <xf numFmtId="0" fontId="4" fillId="13" borderId="3" xfId="0" applyNumberFormat="1" applyFont="1" applyFill="1" applyBorder="1" applyAlignment="1" applyProtection="1">
      <alignment horizontal="left" vertical="top" wrapText="1"/>
      <protection locked="0"/>
    </xf>
    <xf numFmtId="0" fontId="3" fillId="5" borderId="21" xfId="0" applyNumberFormat="1" applyFont="1" applyFill="1" applyBorder="1" applyAlignment="1" applyProtection="1">
      <alignment horizontal="left" vertical="center" wrapText="1"/>
      <protection locked="0"/>
    </xf>
    <xf numFmtId="0" fontId="4" fillId="5" borderId="23" xfId="0" applyNumberFormat="1" applyFont="1" applyFill="1" applyBorder="1" applyAlignment="1" applyProtection="1">
      <alignment horizontal="left" vertical="center" wrapText="1"/>
      <protection locked="0"/>
    </xf>
    <xf numFmtId="0" fontId="4" fillId="5" borderId="3" xfId="0" applyNumberFormat="1" applyFont="1" applyFill="1" applyBorder="1" applyAlignment="1" applyProtection="1">
      <alignment horizontal="left" vertical="center" wrapText="1"/>
      <protection locked="0"/>
    </xf>
    <xf numFmtId="0" fontId="3" fillId="13" borderId="1" xfId="0" applyNumberFormat="1" applyFont="1" applyFill="1" applyBorder="1" applyAlignment="1" applyProtection="1">
      <alignment horizontal="left" vertical="center" wrapText="1"/>
      <protection locked="0"/>
    </xf>
    <xf numFmtId="0" fontId="3" fillId="12" borderId="1" xfId="0" applyNumberFormat="1" applyFont="1" applyFill="1" applyBorder="1" applyAlignment="1" applyProtection="1">
      <alignment horizontal="left" vertical="center" wrapText="1"/>
      <protection locked="0"/>
    </xf>
    <xf numFmtId="0" fontId="6" fillId="0" borderId="3" xfId="0" applyFont="1" applyBorder="1" applyAlignment="1" applyProtection="1">
      <alignment horizontal="right" vertical="center"/>
    </xf>
    <xf numFmtId="0" fontId="4" fillId="0" borderId="23" xfId="0" applyFont="1" applyBorder="1" applyAlignment="1" applyProtection="1">
      <alignment horizontal="left" vertical="center"/>
    </xf>
    <xf numFmtId="0" fontId="0" fillId="0" borderId="0" xfId="0" applyFont="1" applyFill="1" applyBorder="1" applyAlignment="1" applyProtection="1">
      <alignment horizontal="left" vertical="center"/>
    </xf>
    <xf numFmtId="0" fontId="4" fillId="8" borderId="0" xfId="0" applyFont="1" applyFill="1" applyBorder="1" applyAlignment="1" applyProtection="1">
      <alignment horizontal="left" vertical="center"/>
    </xf>
    <xf numFmtId="49" fontId="10" fillId="5" borderId="1" xfId="3" applyNumberFormat="1" applyFill="1" applyBorder="1" applyAlignment="1" applyProtection="1">
      <alignment horizontal="left" vertical="center"/>
      <protection locked="0"/>
    </xf>
    <xf numFmtId="49" fontId="3" fillId="13" borderId="1" xfId="0" applyNumberFormat="1" applyFont="1" applyFill="1" applyBorder="1" applyAlignment="1" applyProtection="1">
      <alignment horizontal="left" vertical="center"/>
      <protection locked="0"/>
    </xf>
    <xf numFmtId="49" fontId="10" fillId="5" borderId="21" xfId="3" applyNumberFormat="1" applyFill="1" applyBorder="1" applyAlignment="1" applyProtection="1">
      <alignment horizontal="left" vertical="center"/>
      <protection locked="0"/>
    </xf>
    <xf numFmtId="49" fontId="0" fillId="5" borderId="23" xfId="0" applyNumberFormat="1" applyFill="1" applyBorder="1" applyAlignment="1" applyProtection="1">
      <alignment horizontal="left" vertical="center"/>
      <protection locked="0"/>
    </xf>
    <xf numFmtId="49" fontId="0" fillId="5" borderId="3" xfId="0" applyNumberFormat="1" applyFill="1" applyBorder="1" applyAlignment="1" applyProtection="1">
      <alignment horizontal="left" vertical="center"/>
      <protection locked="0"/>
    </xf>
    <xf numFmtId="49" fontId="3" fillId="5" borderId="21" xfId="0" applyNumberFormat="1" applyFont="1" applyFill="1" applyBorder="1" applyAlignment="1" applyProtection="1">
      <alignment horizontal="left" vertical="center"/>
      <protection locked="0"/>
    </xf>
    <xf numFmtId="49" fontId="3" fillId="5" borderId="23" xfId="0" applyNumberFormat="1" applyFont="1" applyFill="1" applyBorder="1" applyAlignment="1" applyProtection="1">
      <alignment horizontal="left" vertical="center"/>
      <protection locked="0"/>
    </xf>
    <xf numFmtId="49" fontId="3" fillId="5" borderId="3" xfId="0" applyNumberFormat="1" applyFont="1" applyFill="1" applyBorder="1" applyAlignment="1" applyProtection="1">
      <alignment horizontal="left" vertical="center"/>
      <protection locked="0"/>
    </xf>
    <xf numFmtId="49" fontId="10" fillId="5" borderId="23" xfId="3" applyNumberFormat="1" applyFont="1" applyFill="1" applyBorder="1" applyAlignment="1" applyProtection="1">
      <alignment horizontal="left" vertical="center"/>
      <protection locked="0"/>
    </xf>
    <xf numFmtId="49" fontId="10" fillId="5" borderId="3" xfId="3" applyNumberFormat="1" applyFont="1" applyFill="1" applyBorder="1" applyAlignment="1" applyProtection="1">
      <alignment horizontal="left" vertical="center"/>
      <protection locked="0"/>
    </xf>
    <xf numFmtId="0" fontId="0" fillId="8" borderId="0" xfId="0" applyFill="1" applyAlignment="1" applyProtection="1">
      <alignment horizontal="left" vertical="center" wrapText="1"/>
    </xf>
    <xf numFmtId="49" fontId="3" fillId="13" borderId="21" xfId="6" applyNumberFormat="1" applyFont="1" applyFill="1" applyBorder="1" applyAlignment="1" applyProtection="1">
      <alignment horizontal="left" vertical="center" wrapText="1"/>
      <protection locked="0"/>
    </xf>
    <xf numFmtId="49" fontId="3" fillId="13" borderId="23" xfId="6" applyNumberFormat="1" applyFont="1" applyFill="1" applyBorder="1" applyAlignment="1" applyProtection="1">
      <alignment horizontal="left" vertical="center" wrapText="1"/>
      <protection locked="0"/>
    </xf>
    <xf numFmtId="49" fontId="3" fillId="13" borderId="3" xfId="6" applyNumberFormat="1" applyFont="1" applyFill="1" applyBorder="1" applyAlignment="1" applyProtection="1">
      <alignment horizontal="left" vertical="center" wrapText="1"/>
      <protection locked="0"/>
    </xf>
    <xf numFmtId="49" fontId="3" fillId="5" borderId="21" xfId="0" applyNumberFormat="1" applyFont="1" applyFill="1" applyBorder="1" applyAlignment="1" applyProtection="1">
      <alignment horizontal="left" vertical="center" wrapText="1"/>
      <protection locked="0"/>
    </xf>
    <xf numFmtId="49" fontId="0" fillId="5" borderId="23" xfId="0" applyNumberFormat="1" applyFill="1" applyBorder="1" applyAlignment="1" applyProtection="1">
      <alignment horizontal="left" vertical="center" wrapText="1"/>
      <protection locked="0"/>
    </xf>
    <xf numFmtId="49" fontId="0" fillId="5" borderId="3" xfId="0" applyNumberFormat="1" applyFill="1" applyBorder="1" applyAlignment="1" applyProtection="1">
      <alignment horizontal="left" vertical="center" wrapText="1"/>
      <protection locked="0"/>
    </xf>
    <xf numFmtId="49" fontId="0" fillId="5" borderId="1" xfId="0" applyNumberFormat="1" applyFill="1" applyBorder="1" applyAlignment="1" applyProtection="1">
      <alignment horizontal="left" vertical="center"/>
      <protection locked="0"/>
    </xf>
    <xf numFmtId="49" fontId="28" fillId="5" borderId="1" xfId="6" applyNumberFormat="1" applyFont="1" applyFill="1" applyBorder="1" applyAlignment="1" applyProtection="1">
      <alignment horizontal="left" vertical="center"/>
      <protection locked="0"/>
    </xf>
    <xf numFmtId="9" fontId="3" fillId="15" borderId="25" xfId="11" applyFont="1" applyFill="1" applyBorder="1" applyAlignment="1" applyProtection="1">
      <alignment horizontal="center" vertical="center"/>
    </xf>
    <xf numFmtId="9" fontId="3" fillId="15" borderId="26" xfId="11" applyFont="1" applyFill="1" applyBorder="1" applyAlignment="1" applyProtection="1">
      <alignment horizontal="center" vertical="center"/>
    </xf>
    <xf numFmtId="9" fontId="3" fillId="18" borderId="1" xfId="11" applyFont="1" applyFill="1" applyBorder="1" applyAlignment="1" applyProtection="1">
      <alignment horizontal="center" vertical="center"/>
    </xf>
    <xf numFmtId="0" fontId="3" fillId="15" borderId="9" xfId="9" applyFont="1" applyFill="1" applyBorder="1" applyAlignment="1" applyProtection="1">
      <alignment horizontal="left" wrapText="1"/>
    </xf>
    <xf numFmtId="0" fontId="49" fillId="15" borderId="9" xfId="9" applyFont="1" applyFill="1" applyBorder="1" applyAlignment="1" applyProtection="1">
      <alignment vertical="top" wrapText="1"/>
    </xf>
    <xf numFmtId="0" fontId="8" fillId="15" borderId="21" xfId="9" applyFont="1" applyFill="1" applyBorder="1" applyAlignment="1" applyProtection="1">
      <alignment horizontal="center" vertical="center" wrapText="1"/>
    </xf>
    <xf numFmtId="0" fontId="8" fillId="15" borderId="23" xfId="9" applyFont="1" applyFill="1" applyBorder="1" applyAlignment="1" applyProtection="1">
      <alignment horizontal="center" vertical="center" wrapText="1"/>
    </xf>
    <xf numFmtId="0" fontId="8" fillId="15" borderId="3" xfId="9" applyFont="1" applyFill="1" applyBorder="1" applyAlignment="1" applyProtection="1">
      <alignment horizontal="center" vertical="center" wrapText="1"/>
    </xf>
    <xf numFmtId="0" fontId="3" fillId="15" borderId="0" xfId="9" applyFont="1" applyFill="1" applyBorder="1" applyAlignment="1" applyProtection="1">
      <alignment horizontal="left" vertical="top" wrapText="1"/>
    </xf>
    <xf numFmtId="0" fontId="3" fillId="15" borderId="21" xfId="9" applyFont="1" applyFill="1" applyBorder="1" applyAlignment="1" applyProtection="1">
      <alignment horizontal="center" vertical="center" wrapText="1"/>
    </xf>
    <xf numFmtId="0" fontId="3" fillId="15" borderId="23" xfId="9" applyFont="1" applyFill="1" applyBorder="1" applyAlignment="1" applyProtection="1">
      <alignment horizontal="center" vertical="center" wrapText="1"/>
    </xf>
    <xf numFmtId="0" fontId="3" fillId="15" borderId="3" xfId="9" applyFont="1" applyFill="1" applyBorder="1" applyAlignment="1" applyProtection="1">
      <alignment horizontal="center" vertical="center" wrapText="1"/>
    </xf>
    <xf numFmtId="49" fontId="3" fillId="5" borderId="21" xfId="7" applyNumberFormat="1" applyFont="1" applyFill="1" applyBorder="1" applyAlignment="1" applyProtection="1">
      <alignment horizontal="left" vertical="top" wrapText="1"/>
      <protection locked="0"/>
    </xf>
    <xf numFmtId="49" fontId="3" fillId="5" borderId="23" xfId="7" applyNumberFormat="1" applyFont="1" applyFill="1" applyBorder="1" applyAlignment="1" applyProtection="1">
      <alignment horizontal="left" vertical="top" wrapText="1"/>
      <protection locked="0"/>
    </xf>
    <xf numFmtId="49" fontId="3" fillId="5" borderId="3" xfId="7" applyNumberFormat="1" applyFont="1" applyFill="1" applyBorder="1" applyAlignment="1" applyProtection="1">
      <alignment horizontal="left" vertical="top" wrapText="1"/>
      <protection locked="0"/>
    </xf>
    <xf numFmtId="0" fontId="3" fillId="21" borderId="0" xfId="9" applyFont="1" applyFill="1" applyAlignment="1" applyProtection="1">
      <alignment horizontal="left" vertical="center" wrapText="1"/>
    </xf>
    <xf numFmtId="0" fontId="3" fillId="15" borderId="0" xfId="9" applyFont="1" applyFill="1" applyAlignment="1" applyProtection="1">
      <alignment horizontal="left" vertical="top" wrapText="1"/>
    </xf>
    <xf numFmtId="0" fontId="3" fillId="15" borderId="21" xfId="9" applyFont="1" applyFill="1" applyBorder="1" applyAlignment="1" applyProtection="1">
      <alignment horizontal="left" vertical="center"/>
    </xf>
    <xf numFmtId="0" fontId="3" fillId="15" borderId="3" xfId="9" applyFont="1" applyFill="1" applyBorder="1" applyAlignment="1" applyProtection="1">
      <alignment horizontal="left" vertical="center"/>
    </xf>
    <xf numFmtId="0" fontId="8" fillId="15" borderId="25" xfId="9" applyFont="1" applyFill="1" applyBorder="1" applyAlignment="1" applyProtection="1">
      <alignment horizontal="center" vertical="center" textRotation="90" wrapText="1"/>
    </xf>
    <xf numFmtId="0" fontId="8" fillId="15" borderId="26" xfId="9" applyFont="1" applyFill="1" applyBorder="1" applyAlignment="1" applyProtection="1">
      <alignment horizontal="center" vertical="center" textRotation="90" wrapText="1"/>
    </xf>
    <xf numFmtId="0" fontId="8" fillId="15" borderId="16" xfId="9" applyFont="1" applyFill="1" applyBorder="1" applyAlignment="1" applyProtection="1">
      <alignment horizontal="center" vertical="center" textRotation="90" wrapText="1"/>
    </xf>
    <xf numFmtId="0" fontId="8" fillId="15" borderId="1" xfId="9" applyFont="1" applyFill="1" applyBorder="1" applyAlignment="1" applyProtection="1">
      <alignment horizontal="left" vertical="center"/>
    </xf>
    <xf numFmtId="0" fontId="4" fillId="0" borderId="1" xfId="9" applyBorder="1" applyAlignment="1" applyProtection="1">
      <alignment horizontal="center" vertical="center"/>
    </xf>
    <xf numFmtId="0" fontId="8" fillId="0" borderId="0" xfId="9" applyFont="1" applyBorder="1" applyAlignment="1" applyProtection="1">
      <alignment horizontal="left" vertical="center"/>
    </xf>
    <xf numFmtId="0" fontId="35" fillId="0" borderId="1" xfId="9" applyFont="1" applyFill="1" applyBorder="1" applyAlignment="1" applyProtection="1">
      <alignment horizontal="left" vertical="center"/>
    </xf>
    <xf numFmtId="0" fontId="3" fillId="0" borderId="21" xfId="9" applyFont="1" applyBorder="1" applyAlignment="1" applyProtection="1">
      <alignment horizontal="left" vertical="center"/>
    </xf>
    <xf numFmtId="0" fontId="3" fillId="0" borderId="3" xfId="9" applyFont="1" applyBorder="1" applyAlignment="1" applyProtection="1">
      <alignment horizontal="left" vertical="center"/>
    </xf>
    <xf numFmtId="0" fontId="3" fillId="0" borderId="1" xfId="9" applyFont="1" applyFill="1" applyBorder="1" applyAlignment="1" applyProtection="1">
      <alignment horizontal="left" vertical="center"/>
    </xf>
    <xf numFmtId="0" fontId="3" fillId="12" borderId="21" xfId="9" applyFont="1" applyFill="1" applyBorder="1" applyAlignment="1" applyProtection="1">
      <alignment horizontal="left" vertical="center"/>
    </xf>
    <xf numFmtId="0" fontId="3" fillId="12" borderId="3" xfId="9" applyFont="1" applyFill="1" applyBorder="1" applyAlignment="1" applyProtection="1">
      <alignment horizontal="left" vertical="center"/>
    </xf>
    <xf numFmtId="0" fontId="9" fillId="0" borderId="1" xfId="9" applyFont="1" applyBorder="1" applyAlignment="1" applyProtection="1">
      <alignment horizontal="center" vertical="center"/>
    </xf>
    <xf numFmtId="49" fontId="3" fillId="0" borderId="1" xfId="7" quotePrefix="1" applyNumberFormat="1" applyFont="1" applyBorder="1" applyAlignment="1" applyProtection="1">
      <alignment horizontal="center" vertical="center"/>
    </xf>
    <xf numFmtId="49" fontId="0" fillId="0" borderId="1" xfId="7" applyNumberFormat="1" applyFont="1" applyBorder="1" applyAlignment="1" applyProtection="1">
      <alignment horizontal="center" vertical="center"/>
    </xf>
    <xf numFmtId="0" fontId="20" fillId="15" borderId="1" xfId="9" applyFont="1" applyFill="1" applyBorder="1" applyAlignment="1" applyProtection="1">
      <alignment horizontal="center" vertical="center" textRotation="90" wrapText="1"/>
    </xf>
    <xf numFmtId="0" fontId="8" fillId="0" borderId="21" xfId="9" applyFont="1" applyBorder="1" applyAlignment="1" applyProtection="1">
      <alignment horizontal="center" vertical="center" wrapText="1"/>
    </xf>
    <xf numFmtId="0" fontId="8" fillId="0" borderId="3" xfId="9" applyFont="1" applyBorder="1" applyAlignment="1" applyProtection="1">
      <alignment horizontal="center" vertical="center" wrapText="1"/>
    </xf>
    <xf numFmtId="0" fontId="6" fillId="15" borderId="21" xfId="9" applyFont="1" applyFill="1" applyBorder="1" applyAlignment="1" applyProtection="1">
      <alignment horizontal="right" vertical="center"/>
    </xf>
    <xf numFmtId="0" fontId="6" fillId="15" borderId="23" xfId="9" applyFont="1" applyFill="1" applyBorder="1" applyAlignment="1" applyProtection="1">
      <alignment horizontal="right" vertical="center"/>
    </xf>
    <xf numFmtId="0" fontId="3" fillId="15" borderId="21" xfId="9" applyFont="1" applyFill="1" applyBorder="1" applyAlignment="1" applyProtection="1">
      <alignment horizontal="left" vertical="center" wrapText="1"/>
    </xf>
    <xf numFmtId="0" fontId="3" fillId="15" borderId="23" xfId="9" applyFont="1" applyFill="1" applyBorder="1" applyAlignment="1" applyProtection="1">
      <alignment horizontal="left" vertical="center" wrapText="1"/>
    </xf>
    <xf numFmtId="0" fontId="3" fillId="15" borderId="3" xfId="9" applyFont="1" applyFill="1" applyBorder="1" applyAlignment="1" applyProtection="1">
      <alignment horizontal="left" vertical="center" wrapText="1"/>
    </xf>
    <xf numFmtId="165" fontId="4" fillId="0" borderId="1" xfId="9" applyNumberFormat="1" applyBorder="1" applyAlignment="1" applyProtection="1">
      <alignment horizontal="center" vertical="center"/>
    </xf>
    <xf numFmtId="0" fontId="3" fillId="0" borderId="12" xfId="9" applyFont="1" applyBorder="1" applyAlignment="1" applyProtection="1">
      <alignment horizontal="center" vertical="center"/>
    </xf>
    <xf numFmtId="0" fontId="3" fillId="15" borderId="9" xfId="9" applyFont="1" applyFill="1" applyBorder="1" applyAlignment="1" applyProtection="1">
      <alignment horizontal="left" vertical="center" wrapText="1"/>
    </xf>
    <xf numFmtId="0" fontId="4" fillId="0" borderId="0" xfId="9" applyAlignment="1" applyProtection="1">
      <alignment horizontal="left" vertical="center" wrapText="1"/>
    </xf>
    <xf numFmtId="0" fontId="3" fillId="15" borderId="1" xfId="9" applyFont="1" applyFill="1" applyBorder="1" applyAlignment="1" applyProtection="1">
      <alignment horizontal="left" vertical="center"/>
    </xf>
    <xf numFmtId="49" fontId="3" fillId="5" borderId="21" xfId="7" applyNumberFormat="1" applyFont="1" applyFill="1" applyBorder="1" applyAlignment="1" applyProtection="1">
      <alignment horizontal="left" vertical="center" wrapText="1"/>
      <protection locked="0"/>
    </xf>
    <xf numFmtId="49" fontId="3" fillId="5" borderId="23" xfId="7" applyNumberFormat="1" applyFont="1" applyFill="1" applyBorder="1" applyAlignment="1" applyProtection="1">
      <alignment horizontal="left" vertical="center" wrapText="1"/>
      <protection locked="0"/>
    </xf>
    <xf numFmtId="49" fontId="3" fillId="5" borderId="3" xfId="7" applyNumberFormat="1" applyFont="1" applyFill="1" applyBorder="1" applyAlignment="1" applyProtection="1">
      <alignment horizontal="left" vertical="center" wrapText="1"/>
      <protection locked="0"/>
    </xf>
    <xf numFmtId="0" fontId="6" fillId="15" borderId="3" xfId="9" applyFont="1" applyFill="1" applyBorder="1" applyAlignment="1" applyProtection="1">
      <alignment horizontal="right" vertical="center"/>
    </xf>
    <xf numFmtId="0" fontId="34" fillId="0" borderId="1" xfId="9" applyFont="1" applyFill="1" applyBorder="1" applyAlignment="1" applyProtection="1">
      <alignment horizontal="left" vertical="center"/>
    </xf>
    <xf numFmtId="0" fontId="3"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21" xfId="0" applyFont="1" applyBorder="1" applyAlignment="1" applyProtection="1">
      <alignment horizontal="left" vertical="center" wrapText="1"/>
    </xf>
    <xf numFmtId="0" fontId="4" fillId="0" borderId="23"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49" fontId="4" fillId="13" borderId="21" xfId="9" applyNumberFormat="1" applyFont="1" applyFill="1" applyBorder="1" applyAlignment="1" applyProtection="1">
      <alignment horizontal="left" vertical="center" wrapText="1"/>
      <protection locked="0"/>
    </xf>
    <xf numFmtId="49" fontId="4" fillId="13" borderId="23" xfId="9" applyNumberFormat="1" applyFont="1" applyFill="1" applyBorder="1" applyAlignment="1" applyProtection="1">
      <alignment horizontal="left" vertical="center" wrapText="1"/>
      <protection locked="0"/>
    </xf>
    <xf numFmtId="49" fontId="4" fillId="13" borderId="3" xfId="9"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xf>
    <xf numFmtId="0" fontId="4" fillId="0" borderId="0" xfId="9" applyFont="1" applyBorder="1" applyAlignment="1" applyProtection="1">
      <alignment horizontal="left" vertical="center"/>
    </xf>
    <xf numFmtId="0" fontId="44" fillId="0" borderId="27" xfId="16" applyFont="1" applyFill="1" applyBorder="1" applyAlignment="1" applyProtection="1">
      <alignment horizontal="left" vertical="center" wrapText="1"/>
    </xf>
    <xf numFmtId="0" fontId="44" fillId="0" borderId="4" xfId="16" applyFont="1" applyFill="1" applyBorder="1" applyAlignment="1" applyProtection="1">
      <alignment horizontal="left" vertical="center" wrapText="1"/>
    </xf>
    <xf numFmtId="0" fontId="44" fillId="0" borderId="50" xfId="16" applyFont="1" applyFill="1" applyBorder="1" applyAlignment="1" applyProtection="1">
      <alignment horizontal="left" vertical="center" wrapText="1"/>
    </xf>
  </cellXfs>
  <cellStyles count="17">
    <cellStyle name="Besuchter Hyperlink" xfId="1" xr:uid="{00000000-0005-0000-0000-000000000000}"/>
    <cellStyle name="Euro" xfId="2" xr:uid="{00000000-0005-0000-0000-000001000000}"/>
    <cellStyle name="Lien hypertexte" xfId="3" builtinId="8" customBuiltin="1"/>
    <cellStyle name="Lien hypertexte 2" xfId="4" xr:uid="{00000000-0005-0000-0000-000003000000}"/>
    <cellStyle name="Lien hypertexte_Copie de Fintool V 8.00Light - Beta-0.22" xfId="5" xr:uid="{00000000-0005-0000-0000-000004000000}"/>
    <cellStyle name="Milliers" xfId="6" builtinId="3"/>
    <cellStyle name="Milliers 2" xfId="7" xr:uid="{00000000-0005-0000-0000-000006000000}"/>
    <cellStyle name="Milliers 2 2" xfId="12" xr:uid="{00000000-0005-0000-0000-000007000000}"/>
    <cellStyle name="Normal" xfId="0" builtinId="0"/>
    <cellStyle name="Normal 2" xfId="8" xr:uid="{00000000-0005-0000-0000-000009000000}"/>
    <cellStyle name="Normal 2 2" xfId="13" xr:uid="{00000000-0005-0000-0000-00000A000000}"/>
    <cellStyle name="Normal 3" xfId="9" xr:uid="{00000000-0005-0000-0000-00000B000000}"/>
    <cellStyle name="Normal 3 2" xfId="14" xr:uid="{00000000-0005-0000-0000-00000C000000}"/>
    <cellStyle name="Normal 4" xfId="15" xr:uid="{00000000-0005-0000-0000-00000D000000}"/>
    <cellStyle name="Normal 5" xfId="16" xr:uid="{00000000-0005-0000-0000-00000E000000}"/>
    <cellStyle name="Normal_Copie de Fintool V 8.00Light - Beta-0.22" xfId="10" xr:uid="{00000000-0005-0000-0000-00000F000000}"/>
    <cellStyle name="Pourcentage" xfId="11" builtinId="5"/>
  </cellStyles>
  <dxfs count="95">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theme="0"/>
      </font>
      <fill>
        <patternFill patternType="solid">
          <bgColor theme="0"/>
        </patternFill>
      </fill>
    </dxf>
    <dxf>
      <fill>
        <patternFill>
          <bgColor theme="0"/>
        </patternFill>
      </fill>
    </dxf>
    <dxf>
      <font>
        <color theme="0"/>
      </font>
      <fill>
        <patternFill patternType="solid">
          <bgColor theme="0"/>
        </patternFill>
      </fill>
    </dxf>
    <dxf>
      <font>
        <color auto="1"/>
      </font>
      <fill>
        <patternFill>
          <bgColor theme="0"/>
        </patternFill>
      </fill>
    </dxf>
    <dxf>
      <font>
        <color rgb="FFC6EFCE"/>
      </font>
      <fill>
        <patternFill>
          <bgColor rgb="FFC6EFCE"/>
        </patternFill>
      </fill>
    </dxf>
    <dxf>
      <font>
        <color rgb="FFFFC7CE"/>
      </font>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theme="0"/>
        </patternFill>
      </fill>
    </dxf>
    <dxf>
      <fill>
        <patternFill>
          <bgColor rgb="FFFFC7CE"/>
        </patternFill>
      </fill>
    </dxf>
    <dxf>
      <fill>
        <patternFill>
          <bgColor rgb="FFFFC7CE"/>
        </patternFill>
      </fill>
    </dxf>
    <dxf>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C7CE"/>
        </patternFill>
      </fill>
    </dxf>
    <dxf>
      <fill>
        <patternFill>
          <bgColor rgb="FFC6EFCE"/>
        </patternFill>
      </fill>
    </dxf>
    <dxf>
      <fill>
        <patternFill>
          <bgColor rgb="FFFF6600"/>
        </patternFill>
      </fill>
    </dxf>
    <dxf>
      <fill>
        <patternFill>
          <bgColor rgb="FFFF6600"/>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ill>
        <patternFill>
          <bgColor rgb="FFFF6600"/>
        </patternFill>
      </fill>
    </dxf>
    <dxf>
      <font>
        <color rgb="FFC6EFCE"/>
      </font>
      <fill>
        <patternFill>
          <bgColor rgb="FFC6EFCE"/>
        </patternFill>
      </fill>
    </dxf>
    <dxf>
      <font>
        <color rgb="FFFFC7CE"/>
      </font>
      <fill>
        <patternFill>
          <bgColor rgb="FFFFC7CE"/>
        </patternFill>
      </fill>
    </dxf>
    <dxf>
      <font>
        <color auto="1"/>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
      <font>
        <color rgb="FFC6EFCE"/>
      </font>
      <fill>
        <patternFill>
          <bgColor rgb="FFC6EFCE"/>
        </patternFill>
      </fill>
    </dxf>
    <dxf>
      <font>
        <color rgb="FFFFC7CE"/>
      </font>
      <fill>
        <patternFill>
          <bgColor rgb="FFFFC7CE"/>
        </patternFill>
      </fill>
    </dxf>
  </dxfs>
  <tableStyles count="0" defaultTableStyle="TableStyleMedium9" defaultPivotStyle="PivotStyleLight16"/>
  <colors>
    <mruColors>
      <color rgb="FF99CCFF"/>
      <color rgb="FFFFC7CE"/>
      <color rgb="FFFF33CC"/>
      <color rgb="FFC6EFCE"/>
      <color rgb="FFE2E3E4"/>
      <color rgb="FFFF6699"/>
      <color rgb="FFFFFFFF"/>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1</xdr:row>
      <xdr:rowOff>28575</xdr:rowOff>
    </xdr:from>
    <xdr:to>
      <xdr:col>2</xdr:col>
      <xdr:colOff>1695450</xdr:colOff>
      <xdr:row>1</xdr:row>
      <xdr:rowOff>552450</xdr:rowOff>
    </xdr:to>
    <xdr:pic>
      <xdr:nvPicPr>
        <xdr:cNvPr id="292941" name="Picture 12" descr="Logo_CMYK_pos">
          <a:extLst>
            <a:ext uri="{FF2B5EF4-FFF2-40B4-BE49-F238E27FC236}">
              <a16:creationId xmlns:a16="http://schemas.microsoft.com/office/drawing/2014/main" id="{00000000-0008-0000-0000-00004D7804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42875"/>
          <a:ext cx="2066925" cy="523875"/>
        </a:xfrm>
        <a:prstGeom prst="rect">
          <a:avLst/>
        </a:prstGeom>
        <a:noFill/>
        <a:ln w="9525">
          <a:noFill/>
          <a:miter lim="800000"/>
          <a:headEnd/>
          <a:tailEnd/>
        </a:ln>
      </xdr:spPr>
    </xdr:pic>
    <xdr:clientData/>
  </xdr:twoCellAnchor>
  <xdr:twoCellAnchor editAs="oneCell">
    <xdr:from>
      <xdr:col>3</xdr:col>
      <xdr:colOff>0</xdr:colOff>
      <xdr:row>1</xdr:row>
      <xdr:rowOff>19050</xdr:rowOff>
    </xdr:from>
    <xdr:to>
      <xdr:col>4</xdr:col>
      <xdr:colOff>1259015</xdr:colOff>
      <xdr:row>2</xdr:row>
      <xdr:rowOff>102870</xdr:rowOff>
    </xdr:to>
    <xdr:pic>
      <xdr:nvPicPr>
        <xdr:cNvPr id="292943" name="Grafik 7">
          <a:extLst>
            <a:ext uri="{FF2B5EF4-FFF2-40B4-BE49-F238E27FC236}">
              <a16:creationId xmlns:a16="http://schemas.microsoft.com/office/drawing/2014/main" id="{00000000-0008-0000-0000-00004F78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543300" y="133350"/>
          <a:ext cx="1944815" cy="7029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85725</xdr:colOff>
      <xdr:row>0</xdr:row>
      <xdr:rowOff>95250</xdr:rowOff>
    </xdr:from>
    <xdr:to>
      <xdr:col>2</xdr:col>
      <xdr:colOff>752476</xdr:colOff>
      <xdr:row>4</xdr:row>
      <xdr:rowOff>38100</xdr:rowOff>
    </xdr:to>
    <xdr:pic>
      <xdr:nvPicPr>
        <xdr:cNvPr id="253754" name="Image 2" descr="LogoLarge.jpg">
          <a:hlinkClick xmlns:r="http://schemas.openxmlformats.org/officeDocument/2006/relationships" r:id="rId1"/>
          <a:extLst>
            <a:ext uri="{FF2B5EF4-FFF2-40B4-BE49-F238E27FC236}">
              <a16:creationId xmlns:a16="http://schemas.microsoft.com/office/drawing/2014/main" id="{00000000-0008-0000-0100-00003ADF0300}"/>
            </a:ext>
          </a:extLst>
        </xdr:cNvPr>
        <xdr:cNvPicPr>
          <a:picLocks noChangeAspect="1"/>
        </xdr:cNvPicPr>
      </xdr:nvPicPr>
      <xdr:blipFill>
        <a:blip xmlns:r="http://schemas.openxmlformats.org/officeDocument/2006/relationships" r:embed="rId2" cstate="print"/>
        <a:srcRect/>
        <a:stretch>
          <a:fillRect/>
        </a:stretch>
      </xdr:blipFill>
      <xdr:spPr bwMode="auto">
        <a:xfrm>
          <a:off x="323850" y="95250"/>
          <a:ext cx="2047875" cy="590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64808" name="Grafik 7">
          <a:hlinkClick xmlns:r="http://schemas.openxmlformats.org/officeDocument/2006/relationships" r:id="rId1"/>
          <a:extLst>
            <a:ext uri="{FF2B5EF4-FFF2-40B4-BE49-F238E27FC236}">
              <a16:creationId xmlns:a16="http://schemas.microsoft.com/office/drawing/2014/main" id="{00000000-0008-0000-0200-0000680A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1095376</xdr:colOff>
      <xdr:row>1</xdr:row>
      <xdr:rowOff>257176</xdr:rowOff>
    </xdr:to>
    <xdr:pic>
      <xdr:nvPicPr>
        <xdr:cNvPr id="255656" name="Grafik 7">
          <a:hlinkClick xmlns:r="http://schemas.openxmlformats.org/officeDocument/2006/relationships" r:id="rId1"/>
          <a:extLst>
            <a:ext uri="{FF2B5EF4-FFF2-40B4-BE49-F238E27FC236}">
              <a16:creationId xmlns:a16="http://schemas.microsoft.com/office/drawing/2014/main" id="{00000000-0008-0000-0300-0000A8E6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1095375</xdr:colOff>
      <xdr:row>1</xdr:row>
      <xdr:rowOff>257175</xdr:rowOff>
    </xdr:to>
    <xdr:pic>
      <xdr:nvPicPr>
        <xdr:cNvPr id="293913" name="Grafik 7">
          <a:hlinkClick xmlns:r="http://schemas.openxmlformats.org/officeDocument/2006/relationships" r:id="rId1"/>
          <a:extLst>
            <a:ext uri="{FF2B5EF4-FFF2-40B4-BE49-F238E27FC236}">
              <a16:creationId xmlns:a16="http://schemas.microsoft.com/office/drawing/2014/main" id="{00000000-0008-0000-0400-0000197C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1132118</xdr:colOff>
      <xdr:row>1</xdr:row>
      <xdr:rowOff>255818</xdr:rowOff>
    </xdr:to>
    <xdr:pic>
      <xdr:nvPicPr>
        <xdr:cNvPr id="288087" name="Grafik 7">
          <a:hlinkClick xmlns:r="http://schemas.openxmlformats.org/officeDocument/2006/relationships" r:id="rId1"/>
          <a:extLst>
            <a:ext uri="{FF2B5EF4-FFF2-40B4-BE49-F238E27FC236}">
              <a16:creationId xmlns:a16="http://schemas.microsoft.com/office/drawing/2014/main" id="{00000000-0008-0000-0500-0000576504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1132118</xdr:colOff>
      <xdr:row>1</xdr:row>
      <xdr:rowOff>255818</xdr:rowOff>
    </xdr:to>
    <xdr:pic>
      <xdr:nvPicPr>
        <xdr:cNvPr id="4" name="Grafik 7">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419225" cy="5429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28575</xdr:colOff>
      <xdr:row>0</xdr:row>
      <xdr:rowOff>28575</xdr:rowOff>
    </xdr:from>
    <xdr:to>
      <xdr:col>2</xdr:col>
      <xdr:colOff>1094015</xdr:colOff>
      <xdr:row>1</xdr:row>
      <xdr:rowOff>255815</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twoCellAnchor editAs="oneCell">
    <xdr:from>
      <xdr:col>1</xdr:col>
      <xdr:colOff>28575</xdr:colOff>
      <xdr:row>0</xdr:row>
      <xdr:rowOff>28575</xdr:rowOff>
    </xdr:from>
    <xdr:to>
      <xdr:col>2</xdr:col>
      <xdr:colOff>1094015</xdr:colOff>
      <xdr:row>1</xdr:row>
      <xdr:rowOff>255815</xdr:rowOff>
    </xdr:to>
    <xdr:pic>
      <xdr:nvPicPr>
        <xdr:cNvPr id="3" name="Grafik 7">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76250" y="28575"/>
          <a:ext cx="1419225" cy="5429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1028700</xdr:colOff>
      <xdr:row>1</xdr:row>
      <xdr:rowOff>257175</xdr:rowOff>
    </xdr:to>
    <xdr:pic>
      <xdr:nvPicPr>
        <xdr:cNvPr id="251773" name="Grafik 7">
          <a:hlinkClick xmlns:r="http://schemas.openxmlformats.org/officeDocument/2006/relationships" r:id="rId1"/>
          <a:extLst>
            <a:ext uri="{FF2B5EF4-FFF2-40B4-BE49-F238E27FC236}">
              <a16:creationId xmlns:a16="http://schemas.microsoft.com/office/drawing/2014/main" id="{00000000-0008-0000-0700-00007DD703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28575" y="28575"/>
          <a:ext cx="1304925" cy="5429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xdr:colOff>
      <xdr:row>0</xdr:row>
      <xdr:rowOff>266700</xdr:rowOff>
    </xdr:from>
    <xdr:to>
      <xdr:col>0</xdr:col>
      <xdr:colOff>1311729</xdr:colOff>
      <xdr:row>5</xdr:row>
      <xdr:rowOff>87084</xdr:rowOff>
    </xdr:to>
    <xdr:pic>
      <xdr:nvPicPr>
        <xdr:cNvPr id="2" name="Grafik 7">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266700"/>
          <a:ext cx="1304925" cy="5334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3">
    <pageSetUpPr fitToPage="1"/>
  </sheetPr>
  <dimension ref="B1:I41"/>
  <sheetViews>
    <sheetView tabSelected="1" zoomScale="85" zoomScaleNormal="85" workbookViewId="0">
      <selection activeCell="B21" sqref="B21:F21"/>
    </sheetView>
  </sheetViews>
  <sheetFormatPr baseColWidth="10" defaultColWidth="11.3828125" defaultRowHeight="12.45" x14ac:dyDescent="0.3"/>
  <cols>
    <col min="1" max="1" width="1.3828125" style="25" customWidth="1"/>
    <col min="2" max="2" width="6" style="25" customWidth="1"/>
    <col min="3" max="3" width="45.69140625" style="25" customWidth="1"/>
    <col min="4" max="4" width="10.3046875" style="25" customWidth="1"/>
    <col min="5" max="5" width="20.69140625" style="25" customWidth="1"/>
    <col min="6" max="6" width="7.69140625" style="25" customWidth="1"/>
    <col min="7" max="7" width="11.3828125" style="25"/>
    <col min="8" max="8" width="44.3828125" style="25" customWidth="1"/>
    <col min="9" max="9" width="60.69140625" style="25" customWidth="1"/>
    <col min="10" max="16384" width="11.3828125" style="25"/>
  </cols>
  <sheetData>
    <row r="1" spans="2:9" ht="9" customHeight="1" thickBot="1" x14ac:dyDescent="0.45">
      <c r="H1" s="36"/>
    </row>
    <row r="2" spans="2:9" ht="48.75" customHeight="1" x14ac:dyDescent="0.3">
      <c r="B2" s="394"/>
      <c r="C2" s="395"/>
      <c r="D2" s="395"/>
      <c r="E2" s="395"/>
      <c r="F2" s="396"/>
      <c r="H2" s="388" t="str">
        <f>Langues1!C502</f>
        <v>Dernière vérification avant l'impression, respectivement l'envoi de la demande :</v>
      </c>
      <c r="I2" s="389"/>
    </row>
    <row r="3" spans="2:9" ht="16.5" customHeight="1" x14ac:dyDescent="0.3">
      <c r="B3" s="54"/>
      <c r="C3" s="52" t="str">
        <f>Langues1!C7</f>
        <v>Office fédéral de l'énergie OFEN</v>
      </c>
      <c r="D3" s="53"/>
      <c r="E3" s="53"/>
      <c r="F3" s="56"/>
      <c r="H3" s="390" t="str">
        <f>Langues1!C503</f>
        <v>- Aucune cellule dans le formulaire de demande n’est rouge!</v>
      </c>
      <c r="I3" s="391"/>
    </row>
    <row r="4" spans="2:9" ht="30.75" customHeight="1" x14ac:dyDescent="0.3">
      <c r="B4" s="54"/>
      <c r="C4" s="52"/>
      <c r="D4" s="53"/>
      <c r="E4" s="53"/>
      <c r="F4" s="56"/>
      <c r="H4" s="390" t="str">
        <f>Langues1!C504</f>
        <v>- La preuve de l'économie d'électricité dans le dossier déposé est disponible, précise, compréhensible et transparente!</v>
      </c>
      <c r="I4" s="391"/>
    </row>
    <row r="5" spans="2:9" ht="31.5" customHeight="1" x14ac:dyDescent="0.3">
      <c r="B5" s="54"/>
      <c r="C5" s="52"/>
      <c r="D5" s="53"/>
      <c r="E5" s="53"/>
      <c r="F5" s="56"/>
      <c r="H5" s="390"/>
      <c r="I5" s="391"/>
    </row>
    <row r="6" spans="2:9" ht="39" customHeight="1" x14ac:dyDescent="0.3">
      <c r="B6" s="55"/>
      <c r="C6" s="53"/>
      <c r="F6" s="56"/>
      <c r="H6" s="392" t="str">
        <f>Langues1!C506</f>
        <v>- Le formulaire de demande est complètement rempli. La demande va être chargée avec le concept du programme et tous les autres documents sur le portail de soumission et transmise au Bureau ProKilowatt.</v>
      </c>
      <c r="I6" s="393"/>
    </row>
    <row r="7" spans="2:9" ht="16.5" customHeight="1" x14ac:dyDescent="0.3">
      <c r="B7" s="55"/>
      <c r="C7" s="53"/>
      <c r="D7" s="407" t="str">
        <f>Langues1!C8</f>
        <v>Bureau pour les appels d'offres</v>
      </c>
      <c r="E7" s="407"/>
      <c r="F7" s="408"/>
      <c r="H7" s="392"/>
      <c r="I7" s="393"/>
    </row>
    <row r="8" spans="2:9" x14ac:dyDescent="0.3">
      <c r="B8" s="55"/>
      <c r="C8" s="53"/>
      <c r="D8" s="407" t="str">
        <f>Langues1!C9</f>
        <v>publics dans le domaine de l'efficacité électrique</v>
      </c>
      <c r="E8" s="407"/>
      <c r="F8" s="408"/>
      <c r="H8" s="39"/>
    </row>
    <row r="9" spans="2:9" ht="20.25" customHeight="1" thickBot="1" x14ac:dyDescent="0.35">
      <c r="B9" s="57"/>
      <c r="C9" s="58"/>
      <c r="D9" s="409" t="str">
        <f>Langues1!C10</f>
        <v>c/o CimArk SA, Rte du Rawyl, 1950 Sion</v>
      </c>
      <c r="E9" s="409"/>
      <c r="F9" s="410"/>
      <c r="H9" s="424" t="str">
        <f>Langues1!C40</f>
        <v>Le formulaire de demande résume les points clés du programme pour en faciliter la première évaluation !</v>
      </c>
      <c r="I9" s="424"/>
    </row>
    <row r="10" spans="2:9" ht="66" customHeight="1" x14ac:dyDescent="0.3">
      <c r="B10" s="397" t="str">
        <f>Langues1!C11</f>
        <v>Appels d'offres publics 2019
Formulaire de demande pour programme</v>
      </c>
      <c r="C10" s="398"/>
      <c r="D10" s="398"/>
      <c r="E10" s="398"/>
      <c r="F10" s="399"/>
      <c r="H10" s="423" t="str">
        <f>Langues1!C41</f>
        <v>Les programmes pouvant être très différents, le requérant rédige une description complète du programme et en présente les données clés dans le formulaire de demande pour programme.</v>
      </c>
      <c r="I10" s="423"/>
    </row>
    <row r="11" spans="2:9" ht="33" customHeight="1" thickBot="1" x14ac:dyDescent="0.35">
      <c r="B11" s="402" t="s">
        <v>1271</v>
      </c>
      <c r="C11" s="403"/>
      <c r="D11" s="404"/>
      <c r="E11" s="84" t="s">
        <v>1912</v>
      </c>
      <c r="F11" s="61"/>
      <c r="H11" s="426" t="str">
        <f>Langues1!C501</f>
        <v>Attention! Un changement ultérieur du choix de la langue peut entrainer des erreurs dans les cases à choix du document.</v>
      </c>
      <c r="I11" s="426"/>
    </row>
    <row r="12" spans="2:9" ht="24.75" customHeight="1" x14ac:dyDescent="0.3">
      <c r="B12" s="62" t="s">
        <v>550</v>
      </c>
      <c r="C12" s="411" t="str">
        <f>Langues1!C12</f>
        <v>Rubrique</v>
      </c>
      <c r="D12" s="412"/>
      <c r="E12" s="59" t="str">
        <f>Langues1!C13</f>
        <v>Statut</v>
      </c>
      <c r="F12" s="60"/>
    </row>
    <row r="13" spans="2:9" ht="24.75" customHeight="1" x14ac:dyDescent="0.3">
      <c r="B13" s="63" t="s">
        <v>615</v>
      </c>
      <c r="C13" s="405" t="str">
        <f>Langues1!C14</f>
        <v>Page de titre</v>
      </c>
      <c r="D13" s="406"/>
      <c r="E13" s="400" t="str">
        <f>Langues1!C35</f>
        <v>ne pas remplir !!</v>
      </c>
      <c r="F13" s="401"/>
      <c r="H13" s="425" t="str">
        <f>Langues1!C42</f>
        <v>Ces pages ne doivent pas être remplies. Les informations sont reprises automatiquement à partir d'autres feuilles de calcul.</v>
      </c>
      <c r="I13" s="425"/>
    </row>
    <row r="14" spans="2:9" ht="20.25" customHeight="1" x14ac:dyDescent="0.3">
      <c r="B14" s="63">
        <v>0</v>
      </c>
      <c r="C14" s="405" t="str">
        <f>Langues1!C15</f>
        <v>Chiffres-clés du programme</v>
      </c>
      <c r="D14" s="406"/>
      <c r="E14" s="400" t="str">
        <f>Langues1!C35</f>
        <v>ne pas remplir !!</v>
      </c>
      <c r="F14" s="401"/>
      <c r="H14" s="425" t="str">
        <f>Langues1!C42</f>
        <v>Ces pages ne doivent pas être remplies. Les informations sont reprises automatiquement à partir d'autres feuilles de calcul.</v>
      </c>
      <c r="I14" s="425"/>
    </row>
    <row r="15" spans="2:9" ht="20.25" customHeight="1" x14ac:dyDescent="0.3">
      <c r="B15" s="63">
        <v>1</v>
      </c>
      <c r="C15" s="405" t="str">
        <f>Langues1!C16</f>
        <v>Brève description du programme</v>
      </c>
      <c r="D15" s="406"/>
      <c r="E15" s="1">
        <f>'1'!E2</f>
        <v>5</v>
      </c>
      <c r="F15" s="8"/>
    </row>
    <row r="16" spans="2:9" ht="20.25" customHeight="1" x14ac:dyDescent="0.35">
      <c r="B16" s="63">
        <v>2</v>
      </c>
      <c r="C16" s="405" t="str">
        <f>Langues1!C21</f>
        <v>Organisme porteur / Organisation</v>
      </c>
      <c r="D16" s="406"/>
      <c r="E16" s="1">
        <f>'2'!E2</f>
        <v>18</v>
      </c>
      <c r="F16" s="8"/>
      <c r="H16" s="40" t="str">
        <f>Langues1!C43</f>
        <v>Brèves indications sur la façon de procéder</v>
      </c>
    </row>
    <row r="17" spans="2:9" ht="19.75" x14ac:dyDescent="0.3">
      <c r="B17" s="63">
        <v>3</v>
      </c>
      <c r="C17" s="405" t="str">
        <f>Langues1!C24</f>
        <v>Budget / Financement (quantification)</v>
      </c>
      <c r="D17" s="406"/>
      <c r="E17" s="70">
        <f>SUM('3'!J2,'3'!R2)</f>
        <v>8</v>
      </c>
      <c r="F17" s="8"/>
      <c r="H17" s="421" t="str">
        <f>Langues1!C44</f>
        <v>Remarques importantes à lire avant de remplir une demande</v>
      </c>
      <c r="I17" s="421"/>
    </row>
    <row r="18" spans="2:9" ht="19.75" x14ac:dyDescent="0.3">
      <c r="B18" s="63">
        <v>4</v>
      </c>
      <c r="C18" s="405" t="str">
        <f>Langues1!C561</f>
        <v>Analyse des effets / économies</v>
      </c>
      <c r="D18" s="406"/>
      <c r="E18" s="70">
        <f>('4'!P2)</f>
        <v>0</v>
      </c>
      <c r="F18" s="8"/>
      <c r="H18" s="422" t="str">
        <f>Langues1!C45</f>
        <v>Avant de remplir la demande, vérifier si le programme est éligible pour l'appel d'offres applicable (voir les conditions pour la soumission des programmes en 2019, chap. 2).</v>
      </c>
      <c r="I18" s="422"/>
    </row>
    <row r="19" spans="2:9" ht="20.25" customHeight="1" x14ac:dyDescent="0.3">
      <c r="B19" s="63">
        <v>5</v>
      </c>
      <c r="C19" s="405" t="str">
        <f>Langues1!C28</f>
        <v>Acceptation et remarques</v>
      </c>
      <c r="D19" s="406"/>
      <c r="E19" s="1">
        <f>'5'!E2</f>
        <v>2</v>
      </c>
      <c r="F19" s="8"/>
      <c r="H19" s="422"/>
      <c r="I19" s="422"/>
    </row>
    <row r="20" spans="2:9" x14ac:dyDescent="0.3">
      <c r="B20" s="26"/>
      <c r="C20" s="27"/>
      <c r="D20" s="27"/>
      <c r="E20" s="27"/>
      <c r="F20" s="28"/>
      <c r="H20" s="80"/>
    </row>
    <row r="21" spans="2:9" ht="14.6" thickBot="1" x14ac:dyDescent="0.4">
      <c r="B21" s="414" t="str">
        <f>Langues1!C55</f>
        <v>Pour retourner au menu, cliquer sur le logo ProKilowatt</v>
      </c>
      <c r="C21" s="415"/>
      <c r="D21" s="415"/>
      <c r="E21" s="415"/>
      <c r="F21" s="416"/>
      <c r="H21" s="40" t="str">
        <f>Langues1!C46</f>
        <v>Structure de la description du programme (concept du programme)</v>
      </c>
    </row>
    <row r="22" spans="2:9" x14ac:dyDescent="0.3">
      <c r="H22" s="37" t="str">
        <f>Langues1!C47</f>
        <v>La structure de la demande du programme prévu comprend les chapitres indiqués dans le modèle de concept de programme.</v>
      </c>
    </row>
    <row r="26" spans="2:9" x14ac:dyDescent="0.3">
      <c r="B26" s="9"/>
      <c r="C26" s="9"/>
      <c r="D26" s="9"/>
      <c r="E26" s="9"/>
      <c r="F26" s="9"/>
    </row>
    <row r="27" spans="2:9" ht="14.15" x14ac:dyDescent="0.3">
      <c r="B27" s="413" t="str">
        <f>Langues1!C31</f>
        <v>Brèves instructions (formulaire de demande)</v>
      </c>
      <c r="C27" s="413"/>
      <c r="D27" s="9"/>
      <c r="E27" s="9"/>
      <c r="F27" s="9"/>
    </row>
    <row r="28" spans="2:9" ht="12.75" customHeight="1" x14ac:dyDescent="0.3">
      <c r="B28" s="29"/>
      <c r="C28" s="9"/>
      <c r="D28" s="9"/>
      <c r="E28" s="9"/>
      <c r="F28" s="9"/>
    </row>
    <row r="29" spans="2:9" x14ac:dyDescent="0.3">
      <c r="B29" s="419" t="str">
        <f>Langues1!C32</f>
        <v>Champs obligatoires</v>
      </c>
      <c r="C29" s="419"/>
      <c r="D29" s="15"/>
      <c r="E29" s="9"/>
      <c r="F29" s="9"/>
    </row>
    <row r="30" spans="2:9" ht="60" customHeight="1" x14ac:dyDescent="0.3">
      <c r="B30" s="30"/>
      <c r="C30" s="420" t="str">
        <f>Langues1!C38</f>
        <v>Tous les champs dont le début de la ligne est sur fond orange sont des champs obligatoires et doivent être remplis. Il y a aussi des champs obligatoires dynamiques qui dépendent des réponses données dans le formulaire.</v>
      </c>
      <c r="D30" s="420"/>
      <c r="E30" s="9"/>
      <c r="F30" s="9"/>
    </row>
    <row r="31" spans="2:9" x14ac:dyDescent="0.3">
      <c r="B31" s="21"/>
      <c r="C31" s="31"/>
      <c r="D31" s="31"/>
      <c r="E31" s="9"/>
      <c r="F31" s="9"/>
    </row>
    <row r="32" spans="2:9" ht="37.299999999999997" x14ac:dyDescent="0.3">
      <c r="B32" s="21"/>
      <c r="C32" s="32" t="str">
        <f>Langues1!C33</f>
        <v>Les champs sur fond gris clair sont des champs destinés à la saisie de texte ou de nombres. La hauteur des lignes ne doit pas être modifiée.</v>
      </c>
      <c r="D32" s="90"/>
      <c r="E32" s="9"/>
      <c r="F32" s="9"/>
    </row>
    <row r="33" spans="2:8" x14ac:dyDescent="0.3">
      <c r="B33" s="21"/>
      <c r="C33" s="33"/>
      <c r="D33" s="33"/>
      <c r="E33" s="9"/>
      <c r="F33" s="9"/>
      <c r="H33" s="81"/>
    </row>
    <row r="34" spans="2:8" ht="60" customHeight="1" x14ac:dyDescent="0.3">
      <c r="B34" s="21"/>
      <c r="C34" s="34" t="str">
        <f>Langues1!C34</f>
        <v>Les champs sur fond bleu clair contiennent des résultats de calculs et ne peuvent pas être modifiés. Les formules sont visibles de façon à pouvoir comprendre les calculs.</v>
      </c>
      <c r="D34" s="34"/>
      <c r="E34" s="9"/>
      <c r="F34" s="9"/>
      <c r="H34" s="66"/>
    </row>
    <row r="35" spans="2:8" x14ac:dyDescent="0.3">
      <c r="B35" s="21"/>
      <c r="C35" s="31"/>
      <c r="D35" s="31"/>
      <c r="E35" s="9"/>
      <c r="F35" s="9"/>
      <c r="H35" s="81"/>
    </row>
    <row r="36" spans="2:8" x14ac:dyDescent="0.3">
      <c r="B36" s="419" t="str">
        <f>Langues1!C13</f>
        <v>Statut</v>
      </c>
      <c r="C36" s="419"/>
      <c r="D36" s="11"/>
      <c r="E36" s="9"/>
      <c r="F36" s="9"/>
      <c r="H36" s="81"/>
    </row>
    <row r="37" spans="2:8" ht="49.75" x14ac:dyDescent="0.3">
      <c r="B37" s="9"/>
      <c r="C37" s="17" t="str">
        <f>Langues1!C36</f>
        <v xml:space="preserve">Le champ Statut dans le menu ou en haut de chaque page indique quelles parties du formulaire sont déjà complètement remplies. Le statut reste rouge tant que tous les champs obligatoires ne sont pas remplis. </v>
      </c>
      <c r="D37" s="17"/>
      <c r="E37" s="256"/>
      <c r="F37" s="9"/>
      <c r="H37" s="66"/>
    </row>
    <row r="38" spans="2:8" x14ac:dyDescent="0.3">
      <c r="B38" s="9"/>
      <c r="C38" s="9"/>
      <c r="D38" s="9"/>
      <c r="E38" s="9"/>
      <c r="F38" s="9"/>
    </row>
    <row r="39" spans="2:8" ht="24.9" x14ac:dyDescent="0.3">
      <c r="B39" s="9"/>
      <c r="C39" s="17" t="str">
        <f>Langues1!C37</f>
        <v>Dès que toutes les informations obligatoires ont été fournies, le statut passe au vert.</v>
      </c>
      <c r="D39" s="17"/>
      <c r="E39" s="257"/>
      <c r="F39" s="9"/>
    </row>
    <row r="41" spans="2:8" x14ac:dyDescent="0.3">
      <c r="C41" s="417" t="s">
        <v>1916</v>
      </c>
      <c r="D41" s="418"/>
      <c r="E41" s="142" t="s">
        <v>1917</v>
      </c>
    </row>
  </sheetData>
  <sheetProtection algorithmName="SHA-512" hashValue="PaxRtaHh/rEnGvR/dYe6zPUO3rT8W0N9LHC6c5JEnZlGpkjWuORlzahX98/Mc0jONab91NlXIj71Bp91/Cz7pg==" saltValue="iZ82OmQ3XtANrq7roWwJog==" spinCount="100000" sheet="1" objects="1" scenarios="1"/>
  <mergeCells count="34">
    <mergeCell ref="C16:D16"/>
    <mergeCell ref="C19:D19"/>
    <mergeCell ref="C15:D15"/>
    <mergeCell ref="C17:D17"/>
    <mergeCell ref="C18:D18"/>
    <mergeCell ref="H17:I17"/>
    <mergeCell ref="H18:I19"/>
    <mergeCell ref="H10:I10"/>
    <mergeCell ref="H9:I9"/>
    <mergeCell ref="H13:I13"/>
    <mergeCell ref="H14:I14"/>
    <mergeCell ref="H11:I11"/>
    <mergeCell ref="B27:C27"/>
    <mergeCell ref="B21:F21"/>
    <mergeCell ref="C41:D41"/>
    <mergeCell ref="B29:C29"/>
    <mergeCell ref="B36:C36"/>
    <mergeCell ref="C30:D30"/>
    <mergeCell ref="B2:F2"/>
    <mergeCell ref="B10:F10"/>
    <mergeCell ref="E13:F13"/>
    <mergeCell ref="E14:F14"/>
    <mergeCell ref="B11:D11"/>
    <mergeCell ref="C13:D13"/>
    <mergeCell ref="D7:F7"/>
    <mergeCell ref="D9:F9"/>
    <mergeCell ref="C14:D14"/>
    <mergeCell ref="D8:F8"/>
    <mergeCell ref="C12:D12"/>
    <mergeCell ref="H2:I2"/>
    <mergeCell ref="H3:I3"/>
    <mergeCell ref="H4:I4"/>
    <mergeCell ref="H6:I7"/>
    <mergeCell ref="H5:I5"/>
  </mergeCells>
  <phoneticPr fontId="21" type="noConversion"/>
  <conditionalFormatting sqref="E15:E19">
    <cfRule type="cellIs" dxfId="94" priority="5" stopIfTrue="1" operator="notEqual">
      <formula>0</formula>
    </cfRule>
    <cfRule type="cellIs" dxfId="93" priority="6" stopIfTrue="1" operator="equal">
      <formula>0</formula>
    </cfRule>
  </conditionalFormatting>
  <dataValidations count="1">
    <dataValidation type="list" allowBlank="1" showInputMessage="1" showErrorMessage="1" sqref="E11" xr:uid="{00000000-0002-0000-0000-000000000000}">
      <formula1>"Deutsch,Français,Italiano"</formula1>
    </dataValidation>
  </dataValidations>
  <hyperlinks>
    <hyperlink ref="C13:D13" location="'00'!A1" display="'00'!A1" xr:uid="{00000000-0004-0000-0000-000000000000}"/>
    <hyperlink ref="C14:D14" location="'0'!A1" display="'0'!A1" xr:uid="{00000000-0004-0000-0000-000001000000}"/>
    <hyperlink ref="C15:D15" location="'1'!A1" display="'1'!A1" xr:uid="{00000000-0004-0000-0000-000002000000}"/>
    <hyperlink ref="C16:D16" location="'2'!Zone_d_impression" display="'2'!Zone_d_impression" xr:uid="{00000000-0004-0000-0000-000003000000}"/>
    <hyperlink ref="C17:D17" location="'3'!Zone_d_impression" display="'3'!Zone_d_impression" xr:uid="{00000000-0004-0000-0000-000004000000}"/>
    <hyperlink ref="C19:D19" location="'5'!A1" display="'5'!A1" xr:uid="{00000000-0004-0000-0000-000005000000}"/>
    <hyperlink ref="C18" location="'4'!A1" display="'4'!A1" xr:uid="{00000000-0004-0000-0000-000006000000}"/>
    <hyperlink ref="C18:D18" location="'4'!Zone_d_impression" display="'4'!Zone_d_impression" xr:uid="{00000000-0004-0000-0000-000007000000}"/>
  </hyperlinks>
  <pageMargins left="0.78740157480314965" right="0.59055118110236227" top="0.74803149606299213" bottom="0.74803149606299213" header="0.31496062992125984" footer="0.31496062992125984"/>
  <pageSetup paperSize="9" scale="78" orientation="portrait" r:id="rId1"/>
  <ignoredErrors>
    <ignoredError sqref="B13"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5"/>
  <dimension ref="A1:G38"/>
  <sheetViews>
    <sheetView topLeftCell="A25" workbookViewId="0">
      <selection activeCell="B30" sqref="B30"/>
    </sheetView>
  </sheetViews>
  <sheetFormatPr baseColWidth="10" defaultColWidth="11.3828125" defaultRowHeight="14.6" x14ac:dyDescent="0.4"/>
  <cols>
    <col min="1" max="1" width="20.69140625" style="343" customWidth="1"/>
    <col min="2" max="2" width="71.69140625" style="343" customWidth="1"/>
    <col min="3" max="5" width="11.3828125" style="343"/>
    <col min="6" max="6" width="40.15234375" style="343" customWidth="1"/>
    <col min="7" max="16384" width="11.3828125" style="343"/>
  </cols>
  <sheetData>
    <row r="1" spans="1:7" ht="23.15" x14ac:dyDescent="0.6">
      <c r="A1" s="342" t="s">
        <v>1823</v>
      </c>
      <c r="E1" s="342" t="str">
        <f>Langues1!C648</f>
        <v>Secteur</v>
      </c>
    </row>
    <row r="2" spans="1:7" ht="44.15" thickBot="1" x14ac:dyDescent="0.45">
      <c r="C2" s="344" t="s">
        <v>1804</v>
      </c>
    </row>
    <row r="3" spans="1:7" ht="14.5" customHeight="1" x14ac:dyDescent="0.4">
      <c r="A3" s="345" t="s">
        <v>1824</v>
      </c>
      <c r="B3" s="363" t="str">
        <f>Langues1!C653</f>
        <v xml:space="preserve">Chaudières </v>
      </c>
      <c r="C3" s="346">
        <v>15</v>
      </c>
      <c r="E3" s="343" t="str">
        <f>Langues1!C642</f>
        <v>Industrie</v>
      </c>
    </row>
    <row r="4" spans="1:7" ht="14.5" customHeight="1" x14ac:dyDescent="0.4">
      <c r="A4" s="347"/>
      <c r="B4" s="364" t="str">
        <f>Langues1!C654</f>
        <v>Séchoirs</v>
      </c>
      <c r="C4" s="348">
        <v>15</v>
      </c>
      <c r="E4" s="343" t="str">
        <f>Langues1!C643</f>
        <v>Industrie (PME)</v>
      </c>
      <c r="G4" s="379"/>
    </row>
    <row r="5" spans="1:7" ht="14.5" customHeight="1" thickBot="1" x14ac:dyDescent="0.45">
      <c r="A5" s="350"/>
      <c r="B5" s="365" t="str">
        <f>Langues1!C656</f>
        <v>Chauffage à induction</v>
      </c>
      <c r="C5" s="351">
        <v>15</v>
      </c>
      <c r="E5" s="343" t="str">
        <f>Langues1!C644</f>
        <v>Artisanat</v>
      </c>
    </row>
    <row r="6" spans="1:7" ht="14.5" customHeight="1" x14ac:dyDescent="0.4">
      <c r="A6" s="352" t="s">
        <v>1825</v>
      </c>
      <c r="B6" s="363" t="str">
        <f>Langues1!C657</f>
        <v>Moteurs électriques &lt;20 kW</v>
      </c>
      <c r="C6" s="353">
        <v>15</v>
      </c>
      <c r="E6" s="343" t="str">
        <f>Langues1!C645</f>
        <v>Artisanat (PME)</v>
      </c>
    </row>
    <row r="7" spans="1:7" ht="14.5" customHeight="1" x14ac:dyDescent="0.4">
      <c r="A7" s="354"/>
      <c r="B7" s="364" t="str">
        <f>Langues1!C658</f>
        <v>Moteurs électriques ou systèmes d'entrainement ≥ 20 kW</v>
      </c>
      <c r="C7" s="355">
        <v>25</v>
      </c>
      <c r="E7" s="343" t="str">
        <f>Langues1!C646</f>
        <v>Commerce</v>
      </c>
    </row>
    <row r="8" spans="1:7" ht="14.5" customHeight="1" x14ac:dyDescent="0.4">
      <c r="A8" s="349"/>
      <c r="B8" s="364" t="str">
        <f>Langues1!C659</f>
        <v>Convertisseurs de fréquence</v>
      </c>
      <c r="C8" s="356">
        <v>15</v>
      </c>
      <c r="E8" s="343" t="str">
        <f>Langues1!C647</f>
        <v>Commerce (PME)</v>
      </c>
    </row>
    <row r="9" spans="1:7" ht="14.5" customHeight="1" x14ac:dyDescent="0.4">
      <c r="A9" s="349"/>
      <c r="B9" s="364" t="str">
        <f>Langues1!C660</f>
        <v xml:space="preserve">Systèmes à vide </v>
      </c>
      <c r="C9" s="356">
        <v>15</v>
      </c>
      <c r="E9" s="343" t="str">
        <f>Langues1!C696</f>
        <v>Services</v>
      </c>
    </row>
    <row r="10" spans="1:7" ht="14.5" customHeight="1" x14ac:dyDescent="0.4">
      <c r="A10" s="349"/>
      <c r="B10" s="364" t="str">
        <f>Langues1!C661</f>
        <v xml:space="preserve">Systèmes à vide avec convertisseur de fréquence </v>
      </c>
      <c r="C10" s="356">
        <v>15</v>
      </c>
      <c r="E10" s="343" t="str">
        <f>Langues1!C649</f>
        <v>Services (PME)</v>
      </c>
    </row>
    <row r="11" spans="1:7" ht="14.5" customHeight="1" x14ac:dyDescent="0.4">
      <c r="A11" s="349"/>
      <c r="B11" s="364" t="str">
        <f>Langues1!C662</f>
        <v>Systèmes à pompes</v>
      </c>
      <c r="C11" s="356">
        <v>15</v>
      </c>
      <c r="E11" s="343" t="str">
        <f>Langues1!C650</f>
        <v>Agriculture</v>
      </c>
    </row>
    <row r="12" spans="1:7" ht="14.5" customHeight="1" x14ac:dyDescent="0.4">
      <c r="A12" s="349"/>
      <c r="B12" s="364" t="str">
        <f>Langues1!C663</f>
        <v>Systèmes à pompes avec convertisseur de fréquence</v>
      </c>
      <c r="C12" s="356">
        <v>15</v>
      </c>
      <c r="E12" s="343" t="str">
        <f>Langues1!C651</f>
        <v>Agriculture (PME)</v>
      </c>
    </row>
    <row r="13" spans="1:7" ht="14.5" customHeight="1" x14ac:dyDescent="0.4">
      <c r="A13" s="349"/>
      <c r="B13" s="364" t="str">
        <f>Langues1!C664</f>
        <v>Pompes de circulation (à rotor noyé) pour chauffages</v>
      </c>
      <c r="C13" s="356">
        <v>15</v>
      </c>
      <c r="E13" s="343" t="str">
        <f>Langues1!C652</f>
        <v>Ménages</v>
      </c>
    </row>
    <row r="14" spans="1:7" ht="14.5" customHeight="1" x14ac:dyDescent="0.4">
      <c r="A14" s="349"/>
      <c r="B14" s="364" t="str">
        <f>Langues1!C665</f>
        <v>Systèmes de ventilation</v>
      </c>
      <c r="C14" s="356">
        <v>15</v>
      </c>
    </row>
    <row r="15" spans="1:7" ht="14.5" customHeight="1" x14ac:dyDescent="0.4">
      <c r="A15" s="349"/>
      <c r="B15" s="366" t="str">
        <f>Langues1!C666</f>
        <v>Systèmes de ventilation avec convertisseur de fréquence</v>
      </c>
      <c r="C15" s="356">
        <v>15</v>
      </c>
    </row>
    <row r="16" spans="1:7" ht="14.5" customHeight="1" x14ac:dyDescent="0.4">
      <c r="A16" s="349"/>
      <c r="B16" s="364" t="str">
        <f>Langues1!C667</f>
        <v>Installations de réfrigération (climatisation)</v>
      </c>
      <c r="C16" s="356">
        <v>15</v>
      </c>
    </row>
    <row r="17" spans="1:3" ht="14.5" customHeight="1" x14ac:dyDescent="0.4">
      <c r="A17" s="349"/>
      <c r="B17" s="364" t="str">
        <f>Langues1!C668</f>
        <v xml:space="preserve">Installations de réfrigération (processus) </v>
      </c>
      <c r="C17" s="356">
        <v>15</v>
      </c>
    </row>
    <row r="18" spans="1:3" ht="14.5" customHeight="1" x14ac:dyDescent="0.4">
      <c r="A18" s="349"/>
      <c r="B18" s="364" t="str">
        <f>Langues1!C669</f>
        <v xml:space="preserve">Compresseurs (sans huile) </v>
      </c>
      <c r="C18" s="356">
        <v>15</v>
      </c>
    </row>
    <row r="19" spans="1:3" ht="14.5" customHeight="1" x14ac:dyDescent="0.4">
      <c r="A19" s="349"/>
      <c r="B19" s="364" t="str">
        <f>Langues1!C670</f>
        <v>Compresseurs (sans huile)  avec convertisseur de fréquence</v>
      </c>
      <c r="C19" s="356">
        <v>15</v>
      </c>
    </row>
    <row r="20" spans="1:3" ht="14.5" customHeight="1" x14ac:dyDescent="0.4">
      <c r="A20" s="349"/>
      <c r="B20" s="364" t="str">
        <f>Langues1!C671</f>
        <v>Compresseurs (à injection d'huile)</v>
      </c>
      <c r="C20" s="356">
        <v>15</v>
      </c>
    </row>
    <row r="21" spans="1:3" ht="14.5" customHeight="1" x14ac:dyDescent="0.4">
      <c r="A21" s="349"/>
      <c r="B21" s="364" t="str">
        <f>Langues1!C672</f>
        <v>Compresseurs (à injection d'huile)avec convertisseur de fréquence</v>
      </c>
      <c r="C21" s="356">
        <v>15</v>
      </c>
    </row>
    <row r="22" spans="1:3" ht="14.5" customHeight="1" thickBot="1" x14ac:dyDescent="0.45">
      <c r="A22" s="357"/>
      <c r="B22" s="365" t="str">
        <f>Langues1!C673</f>
        <v>Ascenseurs et escaliers roulants</v>
      </c>
      <c r="C22" s="358">
        <v>15</v>
      </c>
    </row>
    <row r="23" spans="1:3" ht="14.5" customHeight="1" x14ac:dyDescent="0.4">
      <c r="A23" s="576" t="s">
        <v>1826</v>
      </c>
      <c r="B23" s="363" t="str">
        <f>Langues1!C674</f>
        <v>Systèmes d'alimentation électrique sans coupure</v>
      </c>
      <c r="C23" s="346">
        <v>15</v>
      </c>
    </row>
    <row r="24" spans="1:3" ht="14.5" customHeight="1" x14ac:dyDescent="0.4">
      <c r="A24" s="577"/>
      <c r="B24" s="364" t="str">
        <f>Langues1!C675</f>
        <v>Installations à redressesur de courant ≥ 50 kW</v>
      </c>
      <c r="C24" s="359">
        <v>25</v>
      </c>
    </row>
    <row r="25" spans="1:3" ht="14.5" customHeight="1" x14ac:dyDescent="0.4">
      <c r="A25" s="578"/>
      <c r="B25" s="364" t="str">
        <f>Langues1!C676</f>
        <v>Installations à redresseur de courant &lt; 50 kW</v>
      </c>
      <c r="C25" s="348">
        <v>15</v>
      </c>
    </row>
    <row r="26" spans="1:3" ht="14.5" customHeight="1" x14ac:dyDescent="0.4">
      <c r="A26" s="349"/>
      <c r="B26" s="364" t="str">
        <f>Langues1!C677</f>
        <v>Installations ORC pour autoproduction de courant</v>
      </c>
      <c r="C26" s="359">
        <v>25</v>
      </c>
    </row>
    <row r="27" spans="1:3" ht="14.5" customHeight="1" thickBot="1" x14ac:dyDescent="0.45">
      <c r="A27" s="349"/>
      <c r="B27" s="364" t="str">
        <f>Langues1!C678</f>
        <v>Installations à expansion de gaz pour autoproduction de courant</v>
      </c>
      <c r="C27" s="359">
        <v>25</v>
      </c>
    </row>
    <row r="28" spans="1:3" ht="14.5" customHeight="1" thickBot="1" x14ac:dyDescent="0.45">
      <c r="A28" s="361" t="s">
        <v>1902</v>
      </c>
      <c r="B28" s="363" t="str">
        <f>Langues1!C694</f>
        <v>Transformateurs</v>
      </c>
      <c r="C28" s="360">
        <v>25</v>
      </c>
    </row>
    <row r="29" spans="1:3" ht="14.5" customHeight="1" thickBot="1" x14ac:dyDescent="0.45">
      <c r="A29" s="361"/>
      <c r="B29" s="363" t="str">
        <f>Langues1!C698</f>
        <v>Câbles électriques</v>
      </c>
      <c r="C29" s="385">
        <v>25</v>
      </c>
    </row>
    <row r="30" spans="1:3" ht="14.5" customHeight="1" thickBot="1" x14ac:dyDescent="0.45">
      <c r="A30" s="361" t="s">
        <v>1901</v>
      </c>
      <c r="B30" s="363" t="str">
        <f>Langues1!C693</f>
        <v>IT-Hardware</v>
      </c>
      <c r="C30" s="385">
        <v>5</v>
      </c>
    </row>
    <row r="31" spans="1:3" ht="14.5" customHeight="1" x14ac:dyDescent="0.4">
      <c r="A31" s="352" t="s">
        <v>1827</v>
      </c>
      <c r="B31" s="363" t="str">
        <f>Langues1!C680</f>
        <v>Eclairage d'intérieur (halles)</v>
      </c>
      <c r="C31" s="346">
        <v>15</v>
      </c>
    </row>
    <row r="32" spans="1:3" ht="14.5" customHeight="1" x14ac:dyDescent="0.4">
      <c r="A32" s="349"/>
      <c r="B32" s="364" t="str">
        <f>Langues1!C681</f>
        <v>Eclairage d'intérieur (bureaux)</v>
      </c>
      <c r="C32" s="348">
        <v>15</v>
      </c>
    </row>
    <row r="33" spans="1:3" ht="14.5" customHeight="1" x14ac:dyDescent="0.4">
      <c r="A33" s="349"/>
      <c r="B33" s="364" t="str">
        <f>Langues1!C682</f>
        <v>Eclairage d'intérieur (locaux de vente)</v>
      </c>
      <c r="C33" s="348">
        <v>15</v>
      </c>
    </row>
    <row r="34" spans="1:3" ht="14.5" customHeight="1" x14ac:dyDescent="0.4">
      <c r="A34" s="349"/>
      <c r="B34" s="364" t="str">
        <f>Langues1!C683</f>
        <v>Eclairage d'intérieur (autres)</v>
      </c>
      <c r="C34" s="348">
        <v>15</v>
      </c>
    </row>
    <row r="35" spans="1:3" ht="14.5" customHeight="1" x14ac:dyDescent="0.4">
      <c r="A35" s="349"/>
      <c r="B35" s="364" t="str">
        <f>Langues1!C684</f>
        <v>Eclairage d'intérieur (bâtiments résidentiels)</v>
      </c>
      <c r="C35" s="348">
        <v>15</v>
      </c>
    </row>
    <row r="36" spans="1:3" ht="14.5" customHeight="1" thickBot="1" x14ac:dyDescent="0.45">
      <c r="A36" s="386"/>
      <c r="B36" s="364" t="str">
        <f>Langues1!C697</f>
        <v>Eclairage extérieur (terrain de sport et stade)</v>
      </c>
      <c r="C36" s="387">
        <v>25</v>
      </c>
    </row>
    <row r="37" spans="1:3" ht="14.5" customHeight="1" thickBot="1" x14ac:dyDescent="0.45">
      <c r="A37" s="361" t="s">
        <v>1663</v>
      </c>
      <c r="B37" s="367" t="str">
        <f>Langues1!C695</f>
        <v>Réfrigérateurs et congélateurs commerciaux</v>
      </c>
      <c r="C37" s="360">
        <v>8</v>
      </c>
    </row>
    <row r="38" spans="1:3" ht="14.5" customHeight="1" thickBot="1" x14ac:dyDescent="0.45">
      <c r="A38" s="361"/>
      <c r="B38" s="367" t="str">
        <f>Langues1!C688</f>
        <v>Autres technologies</v>
      </c>
      <c r="C38" s="362">
        <v>15</v>
      </c>
    </row>
  </sheetData>
  <mergeCells count="1">
    <mergeCell ref="A23:A25"/>
  </mergeCells>
  <conditionalFormatting sqref="C8:C23 C26:C27 C30:C38 C3:C5">
    <cfRule type="cellIs" dxfId="5" priority="6" operator="greaterThan">
      <formula>15</formula>
    </cfRule>
  </conditionalFormatting>
  <conditionalFormatting sqref="C24:C25">
    <cfRule type="cellIs" dxfId="4" priority="5" operator="greaterThan">
      <formula>15</formula>
    </cfRule>
  </conditionalFormatting>
  <conditionalFormatting sqref="C6:C7">
    <cfRule type="cellIs" dxfId="3" priority="4" operator="greaterThan">
      <formula>15</formula>
    </cfRule>
  </conditionalFormatting>
  <conditionalFormatting sqref="C6:C7">
    <cfRule type="cellIs" dxfId="2" priority="3" operator="greaterThan">
      <formula>15</formula>
    </cfRule>
  </conditionalFormatting>
  <conditionalFormatting sqref="C28">
    <cfRule type="cellIs" dxfId="1" priority="2" operator="greaterThan">
      <formula>15</formula>
    </cfRule>
  </conditionalFormatting>
  <conditionalFormatting sqref="C29">
    <cfRule type="cellIs" dxfId="0" priority="1" operator="greaterThan">
      <formula>15</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H699"/>
  <sheetViews>
    <sheetView topLeftCell="B431" workbookViewId="0">
      <selection activeCell="F382" sqref="F382"/>
    </sheetView>
  </sheetViews>
  <sheetFormatPr baseColWidth="10" defaultRowHeight="15" customHeight="1" x14ac:dyDescent="0.3"/>
  <cols>
    <col min="1" max="1" width="34.69140625" customWidth="1"/>
    <col min="3" max="3" width="57.3828125" customWidth="1"/>
    <col min="5" max="5" width="20.3828125" customWidth="1"/>
    <col min="6" max="6" width="30.3046875" customWidth="1"/>
    <col min="7" max="7" width="39.15234375" customWidth="1"/>
    <col min="8" max="8" width="52.69140625" customWidth="1"/>
  </cols>
  <sheetData>
    <row r="1" spans="1:8" ht="15" customHeight="1" x14ac:dyDescent="0.4">
      <c r="A1" s="51" t="s">
        <v>617</v>
      </c>
      <c r="B1" s="375" t="str">
        <f>IF(ISBLANK(B2) = FALSE,B2,IF(Menu!E11 = "English","e",IF(Menu!E11 = "Français","f",IF(Menu!E11 = "Deutsch","d",IF(Menu!E11 = "Italiano","i",Menu!E11)))))</f>
        <v>f</v>
      </c>
      <c r="C1" s="102" t="s">
        <v>618</v>
      </c>
      <c r="D1" s="103"/>
      <c r="E1" s="104" t="str">
        <f>IF(ISBLANK(B2) = FALSE,B2,IF(Menu!E11 = "English","e",IF(Menu!E11 = "Français","f",IF(Menu!E51 = "Deutsch","d",IF(Menu!E11 = "Italiano","i",Menu!E11)))))</f>
        <v>f</v>
      </c>
      <c r="F1" s="105"/>
      <c r="G1" s="106"/>
      <c r="H1" s="104"/>
    </row>
    <row r="2" spans="1:8" ht="15" customHeight="1" x14ac:dyDescent="0.4">
      <c r="A2" s="108" t="s">
        <v>546</v>
      </c>
      <c r="B2" s="109"/>
      <c r="C2" s="314" t="s">
        <v>547</v>
      </c>
      <c r="D2" s="89"/>
      <c r="E2" s="110"/>
      <c r="F2" s="111"/>
      <c r="G2" s="112"/>
      <c r="H2" s="104"/>
    </row>
    <row r="3" spans="1:8" ht="15" customHeight="1" x14ac:dyDescent="0.4">
      <c r="A3" s="113"/>
      <c r="B3" s="114"/>
      <c r="C3" s="51" t="s">
        <v>619</v>
      </c>
      <c r="D3" s="115"/>
      <c r="E3" s="116"/>
      <c r="F3" s="117"/>
      <c r="G3" s="118"/>
      <c r="H3" s="119"/>
    </row>
    <row r="4" spans="1:8" ht="15" customHeight="1" x14ac:dyDescent="0.4">
      <c r="A4" s="120" t="s">
        <v>620</v>
      </c>
      <c r="B4" s="121"/>
      <c r="C4" s="122" t="str">
        <f>IF($B$1="f",F4,IF($B$1="d",G4,H4))</f>
        <v>Français (F)</v>
      </c>
      <c r="D4" s="123"/>
      <c r="E4" s="124" t="s">
        <v>621</v>
      </c>
      <c r="F4" s="125" t="s">
        <v>622</v>
      </c>
      <c r="G4" s="126" t="s">
        <v>623</v>
      </c>
      <c r="H4" s="127" t="s">
        <v>624</v>
      </c>
    </row>
    <row r="5" spans="1:8" ht="15" customHeight="1" x14ac:dyDescent="0.4">
      <c r="A5" s="128" t="s">
        <v>627</v>
      </c>
      <c r="B5" s="121">
        <f>1</f>
        <v>1</v>
      </c>
      <c r="C5" s="129" t="str">
        <f t="shared" ref="C5:C68" si="0">IF($B$1="f",F5,IF($B$1="d",G5,H5))</f>
        <v>Entreprise</v>
      </c>
      <c r="D5" s="107"/>
      <c r="E5" s="315" t="s">
        <v>625</v>
      </c>
      <c r="F5" s="135" t="s">
        <v>630</v>
      </c>
      <c r="G5" s="316" t="s">
        <v>626</v>
      </c>
      <c r="H5" s="317" t="s">
        <v>901</v>
      </c>
    </row>
    <row r="6" spans="1:8" ht="15" customHeight="1" x14ac:dyDescent="0.4">
      <c r="A6" s="130" t="s">
        <v>631</v>
      </c>
      <c r="B6" s="131">
        <f t="shared" ref="B6:B69" si="1">B5+1</f>
        <v>2</v>
      </c>
      <c r="C6" s="129">
        <f t="shared" si="0"/>
        <v>0</v>
      </c>
      <c r="D6" s="107"/>
      <c r="E6" s="318"/>
      <c r="F6" s="311"/>
      <c r="G6" s="319"/>
      <c r="H6" s="320"/>
    </row>
    <row r="7" spans="1:8" ht="15" customHeight="1" x14ac:dyDescent="0.4">
      <c r="A7" s="132" t="s">
        <v>633</v>
      </c>
      <c r="B7" s="131">
        <f t="shared" si="1"/>
        <v>3</v>
      </c>
      <c r="C7" s="129" t="str">
        <f t="shared" si="0"/>
        <v>Office fédéral de l'énergie OFEN</v>
      </c>
      <c r="D7" s="107"/>
      <c r="E7" s="318"/>
      <c r="F7" s="311" t="s">
        <v>166</v>
      </c>
      <c r="G7" s="319" t="s">
        <v>629</v>
      </c>
      <c r="H7" s="320" t="s">
        <v>902</v>
      </c>
    </row>
    <row r="8" spans="1:8" ht="15" customHeight="1" x14ac:dyDescent="0.4">
      <c r="A8" s="132" t="s">
        <v>634</v>
      </c>
      <c r="B8" s="131">
        <f t="shared" si="1"/>
        <v>4</v>
      </c>
      <c r="C8" s="129" t="str">
        <f t="shared" si="0"/>
        <v>Bureau pour les appels d'offres</v>
      </c>
      <c r="D8" s="107"/>
      <c r="E8" s="318"/>
      <c r="F8" s="311" t="s">
        <v>167</v>
      </c>
      <c r="G8" s="319" t="s">
        <v>821</v>
      </c>
      <c r="H8" s="320" t="s">
        <v>903</v>
      </c>
    </row>
    <row r="9" spans="1:8" ht="15" customHeight="1" x14ac:dyDescent="0.4">
      <c r="A9" s="132" t="s">
        <v>635</v>
      </c>
      <c r="B9" s="131">
        <f t="shared" si="1"/>
        <v>5</v>
      </c>
      <c r="C9" s="129" t="str">
        <f t="shared" si="0"/>
        <v>publics dans le domaine de l'efficacité électrique</v>
      </c>
      <c r="D9" s="107"/>
      <c r="E9" s="318"/>
      <c r="F9" s="311" t="s">
        <v>168</v>
      </c>
      <c r="G9" s="319" t="s">
        <v>614</v>
      </c>
      <c r="H9" s="320" t="s">
        <v>904</v>
      </c>
    </row>
    <row r="10" spans="1:8" ht="15" customHeight="1" x14ac:dyDescent="0.4">
      <c r="A10" s="132" t="s">
        <v>636</v>
      </c>
      <c r="B10" s="131">
        <f t="shared" si="1"/>
        <v>6</v>
      </c>
      <c r="C10" s="129" t="str">
        <f t="shared" si="0"/>
        <v>c/o CimArk SA, Rte du Rawyl, 1950 Sion</v>
      </c>
      <c r="D10" s="107"/>
      <c r="E10" s="318"/>
      <c r="F10" s="311" t="s">
        <v>872</v>
      </c>
      <c r="G10" s="319" t="s">
        <v>873</v>
      </c>
      <c r="H10" s="320" t="s">
        <v>873</v>
      </c>
    </row>
    <row r="11" spans="1:8" ht="15" customHeight="1" x14ac:dyDescent="0.4">
      <c r="A11" s="132" t="s">
        <v>637</v>
      </c>
      <c r="B11" s="131">
        <f t="shared" si="1"/>
        <v>7</v>
      </c>
      <c r="C11" s="129" t="str">
        <f t="shared" si="0"/>
        <v>Appels d'offres publics 2019
Formulaire de demande pour programme</v>
      </c>
      <c r="D11" s="107"/>
      <c r="E11" s="318"/>
      <c r="F11" s="311" t="s">
        <v>1913</v>
      </c>
      <c r="G11" s="319" t="s">
        <v>1914</v>
      </c>
      <c r="H11" s="320" t="s">
        <v>1915</v>
      </c>
    </row>
    <row r="12" spans="1:8" ht="15" customHeight="1" x14ac:dyDescent="0.4">
      <c r="A12" s="132" t="s">
        <v>638</v>
      </c>
      <c r="B12" s="131">
        <f t="shared" si="1"/>
        <v>8</v>
      </c>
      <c r="C12" s="129" t="str">
        <f t="shared" si="0"/>
        <v>Rubrique</v>
      </c>
      <c r="D12" s="107"/>
      <c r="E12" s="318"/>
      <c r="F12" s="311" t="s">
        <v>169</v>
      </c>
      <c r="G12" s="319" t="s">
        <v>551</v>
      </c>
      <c r="H12" s="320" t="s">
        <v>905</v>
      </c>
    </row>
    <row r="13" spans="1:8" ht="15" customHeight="1" x14ac:dyDescent="0.4">
      <c r="A13" s="132" t="s">
        <v>639</v>
      </c>
      <c r="B13" s="131">
        <f t="shared" si="1"/>
        <v>9</v>
      </c>
      <c r="C13" s="129" t="str">
        <f t="shared" si="0"/>
        <v>Statut</v>
      </c>
      <c r="D13" s="107"/>
      <c r="E13" s="318"/>
      <c r="F13" s="311" t="s">
        <v>170</v>
      </c>
      <c r="G13" s="319" t="s">
        <v>552</v>
      </c>
      <c r="H13" s="320" t="s">
        <v>906</v>
      </c>
    </row>
    <row r="14" spans="1:8" ht="15" customHeight="1" x14ac:dyDescent="0.4">
      <c r="A14" s="132" t="s">
        <v>640</v>
      </c>
      <c r="B14" s="131">
        <f t="shared" si="1"/>
        <v>10</v>
      </c>
      <c r="C14" s="129" t="str">
        <f t="shared" si="0"/>
        <v>Page de titre</v>
      </c>
      <c r="D14" s="107"/>
      <c r="E14" s="318"/>
      <c r="F14" s="311" t="s">
        <v>171</v>
      </c>
      <c r="G14" s="319" t="s">
        <v>616</v>
      </c>
      <c r="H14" s="320" t="s">
        <v>907</v>
      </c>
    </row>
    <row r="15" spans="1:8" ht="15" customHeight="1" x14ac:dyDescent="0.4">
      <c r="A15" s="132" t="s">
        <v>641</v>
      </c>
      <c r="B15" s="131">
        <f t="shared" si="1"/>
        <v>11</v>
      </c>
      <c r="C15" s="129" t="str">
        <f t="shared" si="0"/>
        <v>Chiffres-clés du programme</v>
      </c>
      <c r="D15" s="107"/>
      <c r="E15" s="318"/>
      <c r="F15" s="311" t="s">
        <v>172</v>
      </c>
      <c r="G15" s="319" t="s">
        <v>776</v>
      </c>
      <c r="H15" s="320" t="s">
        <v>908</v>
      </c>
    </row>
    <row r="16" spans="1:8" ht="15" customHeight="1" x14ac:dyDescent="0.4">
      <c r="A16" s="132" t="s">
        <v>642</v>
      </c>
      <c r="B16" s="131">
        <f t="shared" si="1"/>
        <v>12</v>
      </c>
      <c r="C16" s="129" t="str">
        <f t="shared" si="0"/>
        <v>Brève description du programme</v>
      </c>
      <c r="D16" s="107"/>
      <c r="E16" s="318"/>
      <c r="F16" s="311" t="s">
        <v>173</v>
      </c>
      <c r="G16" s="319" t="s">
        <v>802</v>
      </c>
      <c r="H16" s="320" t="s">
        <v>909</v>
      </c>
    </row>
    <row r="17" spans="1:8" ht="15" customHeight="1" x14ac:dyDescent="0.4">
      <c r="A17" s="132" t="s">
        <v>643</v>
      </c>
      <c r="B17" s="131">
        <f t="shared" si="1"/>
        <v>13</v>
      </c>
      <c r="C17" s="129" t="str">
        <f t="shared" si="0"/>
        <v>Situation initiale</v>
      </c>
      <c r="D17" s="107"/>
      <c r="E17" s="318"/>
      <c r="F17" s="311" t="s">
        <v>174</v>
      </c>
      <c r="G17" s="319" t="s">
        <v>567</v>
      </c>
      <c r="H17" s="320" t="s">
        <v>910</v>
      </c>
    </row>
    <row r="18" spans="1:8" ht="15" customHeight="1" x14ac:dyDescent="0.4">
      <c r="A18" s="132" t="s">
        <v>644</v>
      </c>
      <c r="B18" s="131">
        <f t="shared" si="1"/>
        <v>14</v>
      </c>
      <c r="C18" s="129" t="str">
        <f t="shared" si="0"/>
        <v>Objectifs et mesures / Partie 1</v>
      </c>
      <c r="D18" s="107"/>
      <c r="E18" s="318"/>
      <c r="F18" s="311" t="s">
        <v>175</v>
      </c>
      <c r="G18" s="319" t="s">
        <v>835</v>
      </c>
      <c r="H18" s="320" t="s">
        <v>911</v>
      </c>
    </row>
    <row r="19" spans="1:8" ht="15" customHeight="1" x14ac:dyDescent="0.4">
      <c r="A19" s="132" t="s">
        <v>645</v>
      </c>
      <c r="B19" s="131">
        <f t="shared" si="1"/>
        <v>15</v>
      </c>
      <c r="C19" s="129" t="str">
        <f t="shared" si="0"/>
        <v>Objectifs et mesures / Partie 2</v>
      </c>
      <c r="D19" s="107"/>
      <c r="E19" s="318"/>
      <c r="F19" s="311" t="s">
        <v>176</v>
      </c>
      <c r="G19" s="319" t="s">
        <v>836</v>
      </c>
      <c r="H19" s="320" t="s">
        <v>912</v>
      </c>
    </row>
    <row r="20" spans="1:8" ht="15" customHeight="1" x14ac:dyDescent="0.4">
      <c r="A20" s="132" t="s">
        <v>646</v>
      </c>
      <c r="B20" s="131">
        <f t="shared" si="1"/>
        <v>16</v>
      </c>
      <c r="C20" s="129" t="str">
        <f t="shared" si="0"/>
        <v>Résumé de l'analyse des effets</v>
      </c>
      <c r="D20" s="107"/>
      <c r="E20" s="321"/>
      <c r="F20" s="311" t="s">
        <v>177</v>
      </c>
      <c r="G20" s="319" t="s">
        <v>447</v>
      </c>
      <c r="H20" s="320" t="s">
        <v>913</v>
      </c>
    </row>
    <row r="21" spans="1:8" ht="15" customHeight="1" x14ac:dyDescent="0.4">
      <c r="A21" s="132" t="s">
        <v>647</v>
      </c>
      <c r="B21" s="131">
        <f t="shared" si="1"/>
        <v>17</v>
      </c>
      <c r="C21" s="129" t="str">
        <f t="shared" si="0"/>
        <v>Organisme porteur / Organisation</v>
      </c>
      <c r="D21" s="107"/>
      <c r="E21" s="318"/>
      <c r="F21" s="311" t="s">
        <v>178</v>
      </c>
      <c r="G21" s="319" t="s">
        <v>58</v>
      </c>
      <c r="H21" s="320" t="s">
        <v>914</v>
      </c>
    </row>
    <row r="22" spans="1:8" ht="15" customHeight="1" x14ac:dyDescent="0.4">
      <c r="A22" s="132" t="s">
        <v>648</v>
      </c>
      <c r="B22" s="131">
        <f t="shared" si="1"/>
        <v>18</v>
      </c>
      <c r="C22" s="129" t="str">
        <f t="shared" si="0"/>
        <v>Mise en œuvre du programme / Communication</v>
      </c>
      <c r="D22" s="107"/>
      <c r="E22" s="318"/>
      <c r="F22" s="311" t="s">
        <v>179</v>
      </c>
      <c r="G22" s="319" t="s">
        <v>59</v>
      </c>
      <c r="H22" s="320" t="s">
        <v>915</v>
      </c>
    </row>
    <row r="23" spans="1:8" ht="15" customHeight="1" x14ac:dyDescent="0.4">
      <c r="A23" s="132" t="s">
        <v>649</v>
      </c>
      <c r="B23" s="131">
        <f t="shared" si="1"/>
        <v>19</v>
      </c>
      <c r="C23" s="129" t="str">
        <f t="shared" si="0"/>
        <v>Contexte du budget / financement</v>
      </c>
      <c r="D23" s="107"/>
      <c r="E23" s="318"/>
      <c r="F23" s="311" t="s">
        <v>893</v>
      </c>
      <c r="G23" s="319" t="s">
        <v>528</v>
      </c>
      <c r="H23" s="320" t="s">
        <v>916</v>
      </c>
    </row>
    <row r="24" spans="1:8" ht="15" customHeight="1" x14ac:dyDescent="0.4">
      <c r="A24" s="132" t="s">
        <v>650</v>
      </c>
      <c r="B24" s="131">
        <f t="shared" si="1"/>
        <v>20</v>
      </c>
      <c r="C24" s="129" t="str">
        <f t="shared" si="0"/>
        <v>Budget / Financement (quantification)</v>
      </c>
      <c r="D24" s="107"/>
      <c r="E24" s="318"/>
      <c r="F24" s="311" t="s">
        <v>882</v>
      </c>
      <c r="G24" s="319" t="s">
        <v>529</v>
      </c>
      <c r="H24" s="320" t="s">
        <v>917</v>
      </c>
    </row>
    <row r="25" spans="1:8" ht="15" customHeight="1" x14ac:dyDescent="0.4">
      <c r="A25" s="132" t="s">
        <v>651</v>
      </c>
      <c r="B25" s="131">
        <f t="shared" si="1"/>
        <v>21</v>
      </c>
      <c r="C25" s="129" t="str">
        <f t="shared" si="0"/>
        <v>Risques du programme</v>
      </c>
      <c r="D25" s="107"/>
      <c r="E25" s="318"/>
      <c r="F25" s="311" t="s">
        <v>181</v>
      </c>
      <c r="G25" s="319" t="s">
        <v>744</v>
      </c>
      <c r="H25" s="320" t="s">
        <v>918</v>
      </c>
    </row>
    <row r="26" spans="1:8" ht="15" customHeight="1" x14ac:dyDescent="0.4">
      <c r="A26" s="132" t="s">
        <v>78</v>
      </c>
      <c r="B26" s="131">
        <f t="shared" si="1"/>
        <v>22</v>
      </c>
      <c r="C26" s="129" t="str">
        <f t="shared" si="0"/>
        <v>Preuves conformité aux exigences supplémentaires</v>
      </c>
      <c r="D26" s="107"/>
      <c r="E26" s="318"/>
      <c r="F26" s="311" t="s">
        <v>508</v>
      </c>
      <c r="G26" s="319" t="s">
        <v>745</v>
      </c>
      <c r="H26" s="320" t="s">
        <v>919</v>
      </c>
    </row>
    <row r="27" spans="1:8" ht="15" customHeight="1" x14ac:dyDescent="0.4">
      <c r="A27" s="132" t="s">
        <v>79</v>
      </c>
      <c r="B27" s="131">
        <f t="shared" si="1"/>
        <v>23</v>
      </c>
      <c r="C27" s="129" t="str">
        <f t="shared" si="0"/>
        <v>Additionnalité</v>
      </c>
      <c r="D27" s="107"/>
      <c r="E27" s="318"/>
      <c r="F27" s="311" t="s">
        <v>182</v>
      </c>
      <c r="G27" s="319" t="s">
        <v>549</v>
      </c>
      <c r="H27" s="320" t="s">
        <v>920</v>
      </c>
    </row>
    <row r="28" spans="1:8" ht="15" customHeight="1" x14ac:dyDescent="0.4">
      <c r="A28" s="132" t="s">
        <v>80</v>
      </c>
      <c r="B28" s="131">
        <f t="shared" si="1"/>
        <v>24</v>
      </c>
      <c r="C28" s="129" t="str">
        <f t="shared" si="0"/>
        <v>Acceptation et remarques</v>
      </c>
      <c r="D28" s="107"/>
      <c r="E28" s="318"/>
      <c r="F28" s="311" t="s">
        <v>1452</v>
      </c>
      <c r="G28" s="319" t="s">
        <v>1451</v>
      </c>
      <c r="H28" s="320" t="s">
        <v>1453</v>
      </c>
    </row>
    <row r="29" spans="1:8" ht="15" customHeight="1" x14ac:dyDescent="0.4">
      <c r="A29" s="132" t="s">
        <v>81</v>
      </c>
      <c r="B29" s="131">
        <f t="shared" si="1"/>
        <v>25</v>
      </c>
      <c r="C29" s="129" t="str">
        <f t="shared" si="0"/>
        <v>Liste des annexes</v>
      </c>
      <c r="D29" s="107"/>
      <c r="E29" s="318"/>
      <c r="F29" s="311" t="s">
        <v>183</v>
      </c>
      <c r="G29" s="319" t="s">
        <v>599</v>
      </c>
      <c r="H29" s="320" t="s">
        <v>921</v>
      </c>
    </row>
    <row r="30" spans="1:8" ht="15" customHeight="1" x14ac:dyDescent="0.4">
      <c r="A30" s="132" t="s">
        <v>82</v>
      </c>
      <c r="B30" s="131">
        <f t="shared" si="1"/>
        <v>26</v>
      </c>
      <c r="C30" s="129" t="str">
        <f t="shared" si="0"/>
        <v>Remarques / Suggestions</v>
      </c>
      <c r="D30" s="107"/>
      <c r="E30" s="318"/>
      <c r="F30" s="311" t="s">
        <v>184</v>
      </c>
      <c r="G30" s="319" t="s">
        <v>106</v>
      </c>
      <c r="H30" s="320" t="s">
        <v>922</v>
      </c>
    </row>
    <row r="31" spans="1:8" ht="15" customHeight="1" x14ac:dyDescent="0.4">
      <c r="A31" s="132" t="s">
        <v>83</v>
      </c>
      <c r="B31" s="131">
        <f t="shared" si="1"/>
        <v>27</v>
      </c>
      <c r="C31" s="129" t="str">
        <f t="shared" si="0"/>
        <v>Brèves instructions (formulaire de demande)</v>
      </c>
      <c r="D31" s="107"/>
      <c r="E31" s="318"/>
      <c r="F31" s="311" t="s">
        <v>185</v>
      </c>
      <c r="G31" s="319" t="s">
        <v>612</v>
      </c>
      <c r="H31" s="320" t="s">
        <v>923</v>
      </c>
    </row>
    <row r="32" spans="1:8" ht="15" customHeight="1" x14ac:dyDescent="0.4">
      <c r="A32" s="132" t="s">
        <v>84</v>
      </c>
      <c r="B32" s="131">
        <f t="shared" si="1"/>
        <v>28</v>
      </c>
      <c r="C32" s="129" t="str">
        <f t="shared" si="0"/>
        <v>Champs obligatoires</v>
      </c>
      <c r="D32" s="107"/>
      <c r="E32" s="318"/>
      <c r="F32" s="311" t="s">
        <v>186</v>
      </c>
      <c r="G32" s="319" t="s">
        <v>1279</v>
      </c>
      <c r="H32" s="320" t="s">
        <v>924</v>
      </c>
    </row>
    <row r="33" spans="1:8" ht="15" customHeight="1" x14ac:dyDescent="0.4">
      <c r="A33" s="132" t="s">
        <v>85</v>
      </c>
      <c r="B33" s="131">
        <f t="shared" si="1"/>
        <v>29</v>
      </c>
      <c r="C33" s="129" t="str">
        <f t="shared" si="0"/>
        <v>Les champs sur fond gris clair sont des champs destinés à la saisie de texte ou de nombres. La hauteur des lignes ne doit pas être modifiée.</v>
      </c>
      <c r="D33" s="107"/>
      <c r="E33" s="318"/>
      <c r="F33" s="311" t="s">
        <v>187</v>
      </c>
      <c r="G33" s="319" t="s">
        <v>870</v>
      </c>
      <c r="H33" s="320" t="s">
        <v>925</v>
      </c>
    </row>
    <row r="34" spans="1:8" ht="15" customHeight="1" x14ac:dyDescent="0.4">
      <c r="A34" s="132" t="s">
        <v>86</v>
      </c>
      <c r="B34" s="131">
        <f t="shared" si="1"/>
        <v>30</v>
      </c>
      <c r="C34" s="129" t="str">
        <f t="shared" si="0"/>
        <v>Les champs sur fond bleu clair contiennent des résultats de calculs et ne peuvent pas être modifiés. Les formules sont visibles de façon à pouvoir comprendre les calculs.</v>
      </c>
      <c r="D34" s="107"/>
      <c r="E34" s="318"/>
      <c r="F34" s="311" t="s">
        <v>188</v>
      </c>
      <c r="G34" s="319" t="s">
        <v>653</v>
      </c>
      <c r="H34" s="320" t="s">
        <v>926</v>
      </c>
    </row>
    <row r="35" spans="1:8" ht="15" customHeight="1" x14ac:dyDescent="0.4">
      <c r="A35" s="132"/>
      <c r="B35" s="131">
        <f t="shared" si="1"/>
        <v>31</v>
      </c>
      <c r="C35" s="129" t="str">
        <f t="shared" si="0"/>
        <v>ne pas remplir !!</v>
      </c>
      <c r="D35" s="107"/>
      <c r="E35" s="318"/>
      <c r="F35" s="311" t="s">
        <v>189</v>
      </c>
      <c r="G35" s="319" t="s">
        <v>100</v>
      </c>
      <c r="H35" s="320" t="s">
        <v>927</v>
      </c>
    </row>
    <row r="36" spans="1:8" ht="15" customHeight="1" x14ac:dyDescent="0.4">
      <c r="A36" s="132" t="s">
        <v>87</v>
      </c>
      <c r="B36" s="131">
        <f t="shared" si="1"/>
        <v>32</v>
      </c>
      <c r="C36" s="129" t="str">
        <f t="shared" si="0"/>
        <v xml:space="preserve">Le champ Statut dans le menu ou en haut de chaque page indique quelles parties du formulaire sont déjà complètement remplies. Le statut reste rouge tant que tous les champs obligatoires ne sont pas remplis. </v>
      </c>
      <c r="D36" s="107"/>
      <c r="E36" s="318"/>
      <c r="F36" s="311" t="s">
        <v>190</v>
      </c>
      <c r="G36" s="319" t="s">
        <v>0</v>
      </c>
      <c r="H36" s="320" t="s">
        <v>928</v>
      </c>
    </row>
    <row r="37" spans="1:8" ht="15" customHeight="1" x14ac:dyDescent="0.4">
      <c r="A37" s="132" t="s">
        <v>88</v>
      </c>
      <c r="B37" s="131">
        <f t="shared" si="1"/>
        <v>33</v>
      </c>
      <c r="C37" s="129" t="str">
        <f t="shared" si="0"/>
        <v>Dès que toutes les informations obligatoires ont été fournies, le statut passe au vert.</v>
      </c>
      <c r="D37" s="107"/>
      <c r="E37" s="318"/>
      <c r="F37" s="311" t="s">
        <v>191</v>
      </c>
      <c r="G37" s="319" t="s">
        <v>127</v>
      </c>
      <c r="H37" s="320" t="s">
        <v>929</v>
      </c>
    </row>
    <row r="38" spans="1:8" ht="15" customHeight="1" x14ac:dyDescent="0.4">
      <c r="A38" s="130" t="s">
        <v>662</v>
      </c>
      <c r="B38" s="131">
        <f t="shared" si="1"/>
        <v>34</v>
      </c>
      <c r="C38" s="129" t="str">
        <f t="shared" si="0"/>
        <v>Tous les champs dont le début de la ligne est sur fond orange sont des champs obligatoires et doivent être remplis. Il y a aussi des champs obligatoires dynamiques qui dépendent des réponses données dans le formulaire.</v>
      </c>
      <c r="D38" s="107"/>
      <c r="E38" s="318"/>
      <c r="F38" s="311" t="s">
        <v>510</v>
      </c>
      <c r="G38" s="319" t="s">
        <v>509</v>
      </c>
      <c r="H38" s="320" t="s">
        <v>930</v>
      </c>
    </row>
    <row r="39" spans="1:8" ht="15" customHeight="1" x14ac:dyDescent="0.4">
      <c r="A39" s="132"/>
      <c r="B39" s="131">
        <f t="shared" si="1"/>
        <v>35</v>
      </c>
      <c r="C39" s="129">
        <f t="shared" si="0"/>
        <v>0</v>
      </c>
      <c r="D39" s="107"/>
      <c r="E39" s="318"/>
      <c r="F39" s="311"/>
      <c r="G39" s="319"/>
      <c r="H39" s="320"/>
    </row>
    <row r="40" spans="1:8" ht="15" customHeight="1" x14ac:dyDescent="0.4">
      <c r="A40" s="132" t="s">
        <v>654</v>
      </c>
      <c r="B40" s="131">
        <f>B39+1</f>
        <v>36</v>
      </c>
      <c r="C40" s="129" t="str">
        <f t="shared" si="0"/>
        <v>Le formulaire de demande résume les points clés du programme pour en faciliter la première évaluation !</v>
      </c>
      <c r="D40" s="107"/>
      <c r="E40" s="318"/>
      <c r="F40" s="311" t="s">
        <v>192</v>
      </c>
      <c r="G40" s="319" t="s">
        <v>77</v>
      </c>
      <c r="H40" s="320" t="s">
        <v>931</v>
      </c>
    </row>
    <row r="41" spans="1:8" ht="15" customHeight="1" x14ac:dyDescent="0.4">
      <c r="A41" s="132" t="s">
        <v>742</v>
      </c>
      <c r="B41" s="131">
        <f t="shared" si="1"/>
        <v>37</v>
      </c>
      <c r="C41" s="129" t="str">
        <f t="shared" si="0"/>
        <v>Les programmes pouvant être très différents, le requérant rédige une description complète du programme et en présente les données clés dans le formulaire de demande pour programme.</v>
      </c>
      <c r="D41" s="107"/>
      <c r="E41" s="318"/>
      <c r="F41" s="311" t="s">
        <v>193</v>
      </c>
      <c r="G41" s="319" t="s">
        <v>128</v>
      </c>
      <c r="H41" s="320" t="s">
        <v>932</v>
      </c>
    </row>
    <row r="42" spans="1:8" ht="15" customHeight="1" x14ac:dyDescent="0.4">
      <c r="A42" s="132" t="s">
        <v>89</v>
      </c>
      <c r="B42" s="131">
        <f t="shared" si="1"/>
        <v>38</v>
      </c>
      <c r="C42" s="129" t="str">
        <f t="shared" si="0"/>
        <v>Ces pages ne doivent pas être remplies. Les informations sont reprises automatiquement à partir d'autres feuilles de calcul.</v>
      </c>
      <c r="D42" s="107"/>
      <c r="E42" s="318"/>
      <c r="F42" s="311" t="s">
        <v>511</v>
      </c>
      <c r="G42" s="319" t="s">
        <v>129</v>
      </c>
      <c r="H42" s="320" t="s">
        <v>933</v>
      </c>
    </row>
    <row r="43" spans="1:8" ht="15" customHeight="1" x14ac:dyDescent="0.4">
      <c r="A43" s="132" t="s">
        <v>655</v>
      </c>
      <c r="B43" s="131">
        <f t="shared" si="1"/>
        <v>39</v>
      </c>
      <c r="C43" s="129" t="str">
        <f t="shared" si="0"/>
        <v>Brèves indications sur la façon de procéder</v>
      </c>
      <c r="D43" s="107"/>
      <c r="E43" s="318"/>
      <c r="F43" s="311" t="s">
        <v>194</v>
      </c>
      <c r="G43" s="319" t="s">
        <v>607</v>
      </c>
      <c r="H43" s="320" t="s">
        <v>934</v>
      </c>
    </row>
    <row r="44" spans="1:8" ht="15" customHeight="1" x14ac:dyDescent="0.4">
      <c r="A44" s="132" t="s">
        <v>656</v>
      </c>
      <c r="B44" s="131">
        <f t="shared" si="1"/>
        <v>40</v>
      </c>
      <c r="C44" s="129" t="str">
        <f t="shared" si="0"/>
        <v>Remarques importantes à lire avant de remplir une demande</v>
      </c>
      <c r="D44" s="107"/>
      <c r="E44" s="318"/>
      <c r="F44" s="311" t="s">
        <v>195</v>
      </c>
      <c r="G44" s="319" t="s">
        <v>130</v>
      </c>
      <c r="H44" s="320" t="s">
        <v>935</v>
      </c>
    </row>
    <row r="45" spans="1:8" ht="15" customHeight="1" x14ac:dyDescent="0.4">
      <c r="A45" s="132" t="s">
        <v>90</v>
      </c>
      <c r="B45" s="131">
        <f t="shared" si="1"/>
        <v>41</v>
      </c>
      <c r="C45" s="129" t="str">
        <f t="shared" si="0"/>
        <v>Avant de remplir la demande, vérifier si le programme est éligible pour l'appel d'offres applicable (voir les conditions pour la soumission des programmes en 2019, chap. 2).</v>
      </c>
      <c r="D45" s="107"/>
      <c r="E45" s="318"/>
      <c r="F45" s="311" t="s">
        <v>1918</v>
      </c>
      <c r="G45" s="319" t="s">
        <v>1919</v>
      </c>
      <c r="H45" s="320" t="s">
        <v>1920</v>
      </c>
    </row>
    <row r="46" spans="1:8" ht="15" customHeight="1" x14ac:dyDescent="0.4">
      <c r="A46" s="132" t="s">
        <v>869</v>
      </c>
      <c r="B46" s="131">
        <f t="shared" si="1"/>
        <v>42</v>
      </c>
      <c r="C46" s="129" t="str">
        <f t="shared" si="0"/>
        <v>Structure de la description du programme (concept du programme)</v>
      </c>
      <c r="D46" s="107"/>
      <c r="E46" s="318"/>
      <c r="F46" s="311" t="s">
        <v>1308</v>
      </c>
      <c r="G46" s="319" t="s">
        <v>1350</v>
      </c>
      <c r="H46" s="320" t="s">
        <v>1314</v>
      </c>
    </row>
    <row r="47" spans="1:8" ht="15" customHeight="1" x14ac:dyDescent="0.4">
      <c r="A47" s="132" t="s">
        <v>655</v>
      </c>
      <c r="B47" s="131">
        <f t="shared" si="1"/>
        <v>43</v>
      </c>
      <c r="C47" s="129" t="str">
        <f t="shared" si="0"/>
        <v>La structure de la demande du programme prévu comprend les chapitres indiqués dans le modèle de concept de programme.</v>
      </c>
      <c r="D47" s="107"/>
      <c r="E47" s="318"/>
      <c r="F47" s="311" t="s">
        <v>1557</v>
      </c>
      <c r="G47" s="319" t="s">
        <v>1601</v>
      </c>
      <c r="H47" s="320" t="s">
        <v>1547</v>
      </c>
    </row>
    <row r="48" spans="1:8" ht="15" customHeight="1" x14ac:dyDescent="0.4">
      <c r="A48" s="132" t="s">
        <v>656</v>
      </c>
      <c r="B48" s="131">
        <f t="shared" si="1"/>
        <v>44</v>
      </c>
      <c r="C48" s="129" t="str">
        <f t="shared" si="0"/>
        <v>1) État récapitulatif</v>
      </c>
      <c r="D48" s="107"/>
      <c r="E48" s="318"/>
      <c r="F48" s="311" t="s">
        <v>196</v>
      </c>
      <c r="G48" s="319" t="s">
        <v>112</v>
      </c>
      <c r="H48" s="320" t="s">
        <v>112</v>
      </c>
    </row>
    <row r="49" spans="1:8" ht="15" customHeight="1" x14ac:dyDescent="0.4">
      <c r="A49" s="132" t="s">
        <v>657</v>
      </c>
      <c r="B49" s="131">
        <f t="shared" si="1"/>
        <v>45</v>
      </c>
      <c r="C49" s="129" t="str">
        <f t="shared" si="0"/>
        <v>2) Quintessence du programme</v>
      </c>
      <c r="D49" s="107"/>
      <c r="E49" s="318"/>
      <c r="F49" s="311" t="s">
        <v>197</v>
      </c>
      <c r="G49" s="319" t="s">
        <v>113</v>
      </c>
      <c r="H49" s="320" t="s">
        <v>936</v>
      </c>
    </row>
    <row r="50" spans="1:8" ht="15" customHeight="1" x14ac:dyDescent="0.4">
      <c r="A50" s="132" t="s">
        <v>91</v>
      </c>
      <c r="B50" s="131">
        <f t="shared" si="1"/>
        <v>46</v>
      </c>
      <c r="C50" s="129" t="str">
        <f t="shared" si="0"/>
        <v>3) Situation initiale</v>
      </c>
      <c r="D50" s="107"/>
      <c r="E50" s="318"/>
      <c r="F50" s="311" t="s">
        <v>198</v>
      </c>
      <c r="G50" s="319" t="s">
        <v>114</v>
      </c>
      <c r="H50" s="320" t="s">
        <v>937</v>
      </c>
    </row>
    <row r="51" spans="1:8" ht="15" customHeight="1" x14ac:dyDescent="0.4">
      <c r="A51" s="132" t="s">
        <v>658</v>
      </c>
      <c r="B51" s="131">
        <f t="shared" si="1"/>
        <v>47</v>
      </c>
      <c r="C51" s="129" t="str">
        <f t="shared" si="0"/>
        <v>4) Objectifs et mesures</v>
      </c>
      <c r="D51" s="107"/>
      <c r="E51" s="318"/>
      <c r="F51" s="311" t="s">
        <v>199</v>
      </c>
      <c r="G51" s="319" t="s">
        <v>115</v>
      </c>
      <c r="H51" s="320" t="s">
        <v>938</v>
      </c>
    </row>
    <row r="52" spans="1:8" ht="15" customHeight="1" x14ac:dyDescent="0.4">
      <c r="A52" s="132" t="s">
        <v>92</v>
      </c>
      <c r="B52" s="131">
        <f t="shared" si="1"/>
        <v>48</v>
      </c>
      <c r="C52" s="129" t="str">
        <f t="shared" si="0"/>
        <v>5) Organisation et financement</v>
      </c>
      <c r="D52" s="107"/>
      <c r="E52" s="318"/>
      <c r="F52" s="311" t="s">
        <v>200</v>
      </c>
      <c r="G52" s="319" t="s">
        <v>116</v>
      </c>
      <c r="H52" s="320" t="s">
        <v>939</v>
      </c>
    </row>
    <row r="53" spans="1:8" ht="15" customHeight="1" x14ac:dyDescent="0.4">
      <c r="A53" s="132" t="s">
        <v>659</v>
      </c>
      <c r="B53" s="131">
        <f t="shared" si="1"/>
        <v>49</v>
      </c>
      <c r="C53" s="129" t="str">
        <f t="shared" si="0"/>
        <v>6) Monitorage</v>
      </c>
      <c r="D53" s="107"/>
      <c r="E53" s="318"/>
      <c r="F53" s="311" t="s">
        <v>201</v>
      </c>
      <c r="G53" s="319" t="s">
        <v>117</v>
      </c>
      <c r="H53" s="320" t="s">
        <v>940</v>
      </c>
    </row>
    <row r="54" spans="1:8" ht="15" customHeight="1" x14ac:dyDescent="0.4">
      <c r="A54" s="132" t="s">
        <v>93</v>
      </c>
      <c r="B54" s="131">
        <f t="shared" si="1"/>
        <v>50</v>
      </c>
      <c r="C54" s="129" t="str">
        <f t="shared" si="0"/>
        <v>7) Risques du programme</v>
      </c>
      <c r="D54" s="107"/>
      <c r="E54" s="318"/>
      <c r="F54" s="311" t="s">
        <v>202</v>
      </c>
      <c r="G54" s="319" t="s">
        <v>118</v>
      </c>
      <c r="H54" s="320" t="s">
        <v>941</v>
      </c>
    </row>
    <row r="55" spans="1:8" ht="15" customHeight="1" x14ac:dyDescent="0.4">
      <c r="A55" s="130" t="s">
        <v>616</v>
      </c>
      <c r="B55" s="131">
        <f t="shared" si="1"/>
        <v>51</v>
      </c>
      <c r="C55" s="129" t="str">
        <f t="shared" si="0"/>
        <v>Pour retourner au menu, cliquer sur le logo ProKilowatt</v>
      </c>
      <c r="D55" s="107"/>
      <c r="E55" s="318"/>
      <c r="F55" s="311" t="s">
        <v>203</v>
      </c>
      <c r="G55" s="319" t="s">
        <v>131</v>
      </c>
      <c r="H55" s="320" t="s">
        <v>942</v>
      </c>
    </row>
    <row r="56" spans="1:8" ht="15" customHeight="1" x14ac:dyDescent="0.4">
      <c r="A56" s="132" t="s">
        <v>660</v>
      </c>
      <c r="B56" s="131">
        <f t="shared" si="1"/>
        <v>52</v>
      </c>
      <c r="C56" s="129" t="str">
        <f t="shared" si="0"/>
        <v>Mandaté par l'Office fédéral de l'énergie OFEN</v>
      </c>
      <c r="D56" s="107"/>
      <c r="E56" s="318"/>
      <c r="F56" s="311" t="s">
        <v>204</v>
      </c>
      <c r="G56" s="319" t="s">
        <v>661</v>
      </c>
      <c r="H56" s="320" t="s">
        <v>943</v>
      </c>
    </row>
    <row r="57" spans="1:8" ht="15" customHeight="1" x14ac:dyDescent="0.4">
      <c r="A57" s="132" t="s">
        <v>663</v>
      </c>
      <c r="B57" s="131">
        <f t="shared" si="1"/>
        <v>53</v>
      </c>
      <c r="C57" s="129">
        <f t="shared" si="0"/>
        <v>0</v>
      </c>
      <c r="D57" s="107"/>
      <c r="E57" s="318"/>
      <c r="F57" s="311"/>
      <c r="G57" s="319"/>
      <c r="H57" s="320"/>
    </row>
    <row r="58" spans="1:8" ht="15" customHeight="1" x14ac:dyDescent="0.4">
      <c r="A58" s="132" t="s">
        <v>664</v>
      </c>
      <c r="B58" s="131">
        <f t="shared" si="1"/>
        <v>54</v>
      </c>
      <c r="C58" s="129" t="str">
        <f t="shared" si="0"/>
        <v>SA</v>
      </c>
      <c r="D58" s="107"/>
      <c r="E58" s="318"/>
      <c r="F58" s="311" t="s">
        <v>205</v>
      </c>
      <c r="G58" s="319" t="s">
        <v>555</v>
      </c>
      <c r="H58" s="320" t="s">
        <v>205</v>
      </c>
    </row>
    <row r="59" spans="1:8" ht="15" customHeight="1" x14ac:dyDescent="0.4">
      <c r="A59" s="132" t="s">
        <v>665</v>
      </c>
      <c r="B59" s="131">
        <f t="shared" si="1"/>
        <v>55</v>
      </c>
      <c r="C59" s="129" t="str">
        <f t="shared" si="0"/>
        <v>SARL</v>
      </c>
      <c r="D59" s="107"/>
      <c r="E59" s="318"/>
      <c r="F59" s="311" t="s">
        <v>206</v>
      </c>
      <c r="G59" s="319" t="s">
        <v>556</v>
      </c>
      <c r="H59" s="320" t="s">
        <v>944</v>
      </c>
    </row>
    <row r="60" spans="1:8" ht="15" customHeight="1" x14ac:dyDescent="0.4">
      <c r="A60" s="132" t="s">
        <v>666</v>
      </c>
      <c r="B60" s="131">
        <f t="shared" si="1"/>
        <v>56</v>
      </c>
      <c r="C60" s="129" t="str">
        <f t="shared" si="0"/>
        <v>Raison individuelle</v>
      </c>
      <c r="D60" s="107"/>
      <c r="E60" s="318"/>
      <c r="F60" s="311" t="s">
        <v>207</v>
      </c>
      <c r="G60" s="319" t="s">
        <v>557</v>
      </c>
      <c r="H60" s="320" t="s">
        <v>945</v>
      </c>
    </row>
    <row r="61" spans="1:8" ht="15" customHeight="1" x14ac:dyDescent="0.4">
      <c r="A61" s="132" t="s">
        <v>667</v>
      </c>
      <c r="B61" s="131">
        <f t="shared" si="1"/>
        <v>57</v>
      </c>
      <c r="C61" s="129" t="str">
        <f t="shared" si="0"/>
        <v>Collectivité de droit public</v>
      </c>
      <c r="D61" s="107"/>
      <c r="E61" s="318"/>
      <c r="F61" s="311" t="s">
        <v>209</v>
      </c>
      <c r="G61" s="319" t="s">
        <v>605</v>
      </c>
      <c r="H61" s="320" t="s">
        <v>947</v>
      </c>
    </row>
    <row r="62" spans="1:8" ht="15" customHeight="1" x14ac:dyDescent="0.4">
      <c r="A62" s="132" t="s">
        <v>668</v>
      </c>
      <c r="B62" s="131">
        <f t="shared" si="1"/>
        <v>58</v>
      </c>
      <c r="C62" s="129" t="str">
        <f t="shared" si="0"/>
        <v>autre</v>
      </c>
      <c r="D62" s="107"/>
      <c r="E62" s="318"/>
      <c r="F62" s="311" t="s">
        <v>210</v>
      </c>
      <c r="G62" s="319" t="s">
        <v>554</v>
      </c>
      <c r="H62" s="320" t="s">
        <v>948</v>
      </c>
    </row>
    <row r="63" spans="1:8" ht="15" customHeight="1" x14ac:dyDescent="0.4">
      <c r="A63" s="132" t="s">
        <v>669</v>
      </c>
      <c r="B63" s="131">
        <f t="shared" si="1"/>
        <v>59</v>
      </c>
      <c r="C63" s="129" t="str">
        <f t="shared" si="0"/>
        <v>Personne privée</v>
      </c>
      <c r="D63" s="107"/>
      <c r="E63" s="318"/>
      <c r="F63" s="311" t="s">
        <v>208</v>
      </c>
      <c r="G63" s="319" t="s">
        <v>606</v>
      </c>
      <c r="H63" s="320" t="s">
        <v>946</v>
      </c>
    </row>
    <row r="64" spans="1:8" ht="15" customHeight="1" x14ac:dyDescent="0.4">
      <c r="A64" s="132" t="s">
        <v>670</v>
      </c>
      <c r="B64" s="131">
        <f t="shared" si="1"/>
        <v>60</v>
      </c>
      <c r="C64" s="129" t="str">
        <f t="shared" si="0"/>
        <v>oui</v>
      </c>
      <c r="D64" s="107"/>
      <c r="E64" s="318"/>
      <c r="F64" s="311" t="s">
        <v>211</v>
      </c>
      <c r="G64" s="319" t="s">
        <v>565</v>
      </c>
      <c r="H64" s="320" t="s">
        <v>949</v>
      </c>
    </row>
    <row r="65" spans="1:8" ht="15" customHeight="1" x14ac:dyDescent="0.4">
      <c r="A65" s="132" t="s">
        <v>671</v>
      </c>
      <c r="B65" s="131">
        <f t="shared" si="1"/>
        <v>61</v>
      </c>
      <c r="C65" s="129" t="str">
        <f t="shared" si="0"/>
        <v>non</v>
      </c>
      <c r="D65" s="107"/>
      <c r="E65" s="318"/>
      <c r="F65" s="311" t="s">
        <v>212</v>
      </c>
      <c r="G65" s="319" t="s">
        <v>566</v>
      </c>
      <c r="H65" s="320" t="s">
        <v>950</v>
      </c>
    </row>
    <row r="66" spans="1:8" ht="15" customHeight="1" x14ac:dyDescent="0.4">
      <c r="A66" s="132" t="s">
        <v>672</v>
      </c>
      <c r="B66" s="131">
        <f t="shared" si="1"/>
        <v>62</v>
      </c>
      <c r="C66" s="129" t="str">
        <f t="shared" si="0"/>
        <v>AG Argovie</v>
      </c>
      <c r="D66" s="107"/>
      <c r="E66" s="318"/>
      <c r="F66" s="311" t="s">
        <v>213</v>
      </c>
      <c r="G66" s="319" t="s">
        <v>568</v>
      </c>
      <c r="H66" s="320" t="s">
        <v>951</v>
      </c>
    </row>
    <row r="67" spans="1:8" ht="15" customHeight="1" x14ac:dyDescent="0.4">
      <c r="A67" s="132" t="s">
        <v>673</v>
      </c>
      <c r="B67" s="131">
        <f t="shared" si="1"/>
        <v>63</v>
      </c>
      <c r="C67" s="129" t="str">
        <f t="shared" si="0"/>
        <v>AI Appenzell Rhodes-Intérieures</v>
      </c>
      <c r="D67" s="107"/>
      <c r="E67" s="318"/>
      <c r="F67" s="311" t="s">
        <v>214</v>
      </c>
      <c r="G67" s="319" t="s">
        <v>591</v>
      </c>
      <c r="H67" s="320" t="s">
        <v>952</v>
      </c>
    </row>
    <row r="68" spans="1:8" ht="15" customHeight="1" x14ac:dyDescent="0.4">
      <c r="A68" s="132" t="s">
        <v>674</v>
      </c>
      <c r="B68" s="131">
        <f t="shared" si="1"/>
        <v>64</v>
      </c>
      <c r="C68" s="129" t="str">
        <f t="shared" si="0"/>
        <v>AR Appenzell Rhodes-Extérieures</v>
      </c>
      <c r="D68" s="107"/>
      <c r="E68" s="318"/>
      <c r="F68" s="311" t="s">
        <v>215</v>
      </c>
      <c r="G68" s="319" t="s">
        <v>590</v>
      </c>
      <c r="H68" s="320" t="s">
        <v>953</v>
      </c>
    </row>
    <row r="69" spans="1:8" ht="15" customHeight="1" x14ac:dyDescent="0.4">
      <c r="A69" s="132" t="s">
        <v>675</v>
      </c>
      <c r="B69" s="131">
        <f t="shared" si="1"/>
        <v>65</v>
      </c>
      <c r="C69" s="129" t="str">
        <f t="shared" ref="C69:C132" si="2">IF($B$1="f",F69,IF($B$1="d",G69,H69))</f>
        <v>BL Bâle-Campagne</v>
      </c>
      <c r="D69" s="107"/>
      <c r="E69" s="318"/>
      <c r="F69" s="311" t="s">
        <v>216</v>
      </c>
      <c r="G69" s="319" t="s">
        <v>570</v>
      </c>
      <c r="H69" s="320" t="s">
        <v>954</v>
      </c>
    </row>
    <row r="70" spans="1:8" ht="15" customHeight="1" x14ac:dyDescent="0.4">
      <c r="A70" s="132" t="s">
        <v>676</v>
      </c>
      <c r="B70" s="131">
        <f t="shared" ref="B70:B133" si="3">B69+1</f>
        <v>66</v>
      </c>
      <c r="C70" s="129" t="str">
        <f t="shared" si="2"/>
        <v>BS Bâle-Ville</v>
      </c>
      <c r="D70" s="107"/>
      <c r="E70" s="318"/>
      <c r="F70" s="311" t="s">
        <v>217</v>
      </c>
      <c r="G70" s="319" t="s">
        <v>569</v>
      </c>
      <c r="H70" s="320" t="s">
        <v>955</v>
      </c>
    </row>
    <row r="71" spans="1:8" ht="15" customHeight="1" x14ac:dyDescent="0.4">
      <c r="A71" s="132" t="s">
        <v>677</v>
      </c>
      <c r="B71" s="131">
        <f t="shared" si="3"/>
        <v>67</v>
      </c>
      <c r="C71" s="129" t="str">
        <f t="shared" si="2"/>
        <v xml:space="preserve">BE Berne </v>
      </c>
      <c r="D71" s="107"/>
      <c r="E71" s="318"/>
      <c r="F71" s="311" t="s">
        <v>218</v>
      </c>
      <c r="G71" s="319" t="s">
        <v>578</v>
      </c>
      <c r="H71" s="320" t="s">
        <v>956</v>
      </c>
    </row>
    <row r="72" spans="1:8" ht="15" customHeight="1" x14ac:dyDescent="0.4">
      <c r="A72" s="132" t="s">
        <v>678</v>
      </c>
      <c r="B72" s="131">
        <f t="shared" si="3"/>
        <v>68</v>
      </c>
      <c r="C72" s="129" t="str">
        <f t="shared" si="2"/>
        <v>FR Fribourg</v>
      </c>
      <c r="D72" s="107"/>
      <c r="E72" s="318"/>
      <c r="F72" s="311" t="s">
        <v>219</v>
      </c>
      <c r="G72" s="319" t="s">
        <v>576</v>
      </c>
      <c r="H72" s="320" t="s">
        <v>957</v>
      </c>
    </row>
    <row r="73" spans="1:8" ht="15" customHeight="1" x14ac:dyDescent="0.4">
      <c r="A73" s="132" t="s">
        <v>679</v>
      </c>
      <c r="B73" s="131">
        <f t="shared" si="3"/>
        <v>69</v>
      </c>
      <c r="C73" s="129" t="str">
        <f t="shared" si="2"/>
        <v>GE Genève</v>
      </c>
      <c r="D73" s="107"/>
      <c r="E73" s="318"/>
      <c r="F73" s="311" t="s">
        <v>220</v>
      </c>
      <c r="G73" s="319" t="s">
        <v>575</v>
      </c>
      <c r="H73" s="320" t="s">
        <v>958</v>
      </c>
    </row>
    <row r="74" spans="1:8" ht="15" customHeight="1" x14ac:dyDescent="0.4">
      <c r="A74" s="132" t="s">
        <v>680</v>
      </c>
      <c r="B74" s="131">
        <f t="shared" si="3"/>
        <v>70</v>
      </c>
      <c r="C74" s="129" t="str">
        <f t="shared" si="2"/>
        <v>GL Glaris</v>
      </c>
      <c r="D74" s="107"/>
      <c r="E74" s="318"/>
      <c r="F74" s="311" t="s">
        <v>221</v>
      </c>
      <c r="G74" s="319" t="s">
        <v>571</v>
      </c>
      <c r="H74" s="320" t="s">
        <v>959</v>
      </c>
    </row>
    <row r="75" spans="1:8" ht="15" customHeight="1" x14ac:dyDescent="0.4">
      <c r="A75" s="132" t="s">
        <v>681</v>
      </c>
      <c r="B75" s="131">
        <f t="shared" si="3"/>
        <v>71</v>
      </c>
      <c r="C75" s="129" t="str">
        <f t="shared" si="2"/>
        <v>GR Grisons</v>
      </c>
      <c r="D75" s="107"/>
      <c r="E75" s="318"/>
      <c r="F75" s="311" t="s">
        <v>222</v>
      </c>
      <c r="G75" s="319" t="s">
        <v>581</v>
      </c>
      <c r="H75" s="320" t="s">
        <v>960</v>
      </c>
    </row>
    <row r="76" spans="1:8" ht="15" customHeight="1" x14ac:dyDescent="0.4">
      <c r="A76" s="132" t="s">
        <v>682</v>
      </c>
      <c r="B76" s="131">
        <f t="shared" si="3"/>
        <v>72</v>
      </c>
      <c r="C76" s="129" t="str">
        <f t="shared" si="2"/>
        <v>JU Jura</v>
      </c>
      <c r="D76" s="107"/>
      <c r="E76" s="318"/>
      <c r="F76" s="311" t="s">
        <v>585</v>
      </c>
      <c r="G76" s="319" t="s">
        <v>585</v>
      </c>
      <c r="H76" s="320" t="s">
        <v>961</v>
      </c>
    </row>
    <row r="77" spans="1:8" ht="15" customHeight="1" x14ac:dyDescent="0.4">
      <c r="A77" s="132" t="s">
        <v>683</v>
      </c>
      <c r="B77" s="131">
        <f t="shared" si="3"/>
        <v>73</v>
      </c>
      <c r="C77" s="129" t="str">
        <f t="shared" si="2"/>
        <v>LU Lucerne</v>
      </c>
      <c r="D77" s="107"/>
      <c r="E77" s="318"/>
      <c r="F77" s="311" t="s">
        <v>223</v>
      </c>
      <c r="G77" s="319" t="s">
        <v>582</v>
      </c>
      <c r="H77" s="320" t="s">
        <v>962</v>
      </c>
    </row>
    <row r="78" spans="1:8" ht="15" customHeight="1" x14ac:dyDescent="0.4">
      <c r="A78" s="132" t="s">
        <v>684</v>
      </c>
      <c r="B78" s="131">
        <f t="shared" si="3"/>
        <v>74</v>
      </c>
      <c r="C78" s="129" t="str">
        <f t="shared" si="2"/>
        <v>NE Neuchâtel</v>
      </c>
      <c r="D78" s="107"/>
      <c r="E78" s="318"/>
      <c r="F78" s="311" t="s">
        <v>224</v>
      </c>
      <c r="G78" s="319" t="s">
        <v>577</v>
      </c>
      <c r="H78" s="320" t="s">
        <v>224</v>
      </c>
    </row>
    <row r="79" spans="1:8" ht="15" customHeight="1" x14ac:dyDescent="0.4">
      <c r="A79" s="132" t="s">
        <v>685</v>
      </c>
      <c r="B79" s="131">
        <f t="shared" si="3"/>
        <v>75</v>
      </c>
      <c r="C79" s="129" t="str">
        <f t="shared" si="2"/>
        <v xml:space="preserve">NW Nidwald </v>
      </c>
      <c r="D79" s="107"/>
      <c r="E79" s="318"/>
      <c r="F79" s="311" t="s">
        <v>225</v>
      </c>
      <c r="G79" s="319" t="s">
        <v>587</v>
      </c>
      <c r="H79" s="320" t="s">
        <v>963</v>
      </c>
    </row>
    <row r="80" spans="1:8" ht="15" customHeight="1" x14ac:dyDescent="0.4">
      <c r="A80" s="132" t="s">
        <v>686</v>
      </c>
      <c r="B80" s="131">
        <f t="shared" si="3"/>
        <v>76</v>
      </c>
      <c r="C80" s="129" t="str">
        <f t="shared" si="2"/>
        <v>OW Obwald</v>
      </c>
      <c r="D80" s="107"/>
      <c r="E80" s="318"/>
      <c r="F80" s="311" t="s">
        <v>226</v>
      </c>
      <c r="G80" s="319" t="s">
        <v>588</v>
      </c>
      <c r="H80" s="320" t="s">
        <v>964</v>
      </c>
    </row>
    <row r="81" spans="1:8" ht="15" customHeight="1" x14ac:dyDescent="0.4">
      <c r="A81" s="132" t="s">
        <v>687</v>
      </c>
      <c r="B81" s="131">
        <f t="shared" si="3"/>
        <v>77</v>
      </c>
      <c r="C81" s="129" t="str">
        <f t="shared" si="2"/>
        <v xml:space="preserve">SH Schaffhouse </v>
      </c>
      <c r="D81" s="107"/>
      <c r="E81" s="318"/>
      <c r="F81" s="311" t="s">
        <v>227</v>
      </c>
      <c r="G81" s="319" t="s">
        <v>159</v>
      </c>
      <c r="H81" s="320" t="s">
        <v>965</v>
      </c>
    </row>
    <row r="82" spans="1:8" ht="15" customHeight="1" x14ac:dyDescent="0.4">
      <c r="A82" s="132" t="s">
        <v>688</v>
      </c>
      <c r="B82" s="131">
        <f t="shared" si="3"/>
        <v>78</v>
      </c>
      <c r="C82" s="129" t="str">
        <f t="shared" si="2"/>
        <v>SZ Schwyz</v>
      </c>
      <c r="D82" s="107"/>
      <c r="E82" s="318"/>
      <c r="F82" s="311" t="s">
        <v>579</v>
      </c>
      <c r="G82" s="319" t="s">
        <v>579</v>
      </c>
      <c r="H82" s="320" t="s">
        <v>966</v>
      </c>
    </row>
    <row r="83" spans="1:8" ht="15" customHeight="1" x14ac:dyDescent="0.4">
      <c r="A83" s="132" t="s">
        <v>689</v>
      </c>
      <c r="B83" s="131">
        <f t="shared" si="3"/>
        <v>79</v>
      </c>
      <c r="C83" s="129" t="str">
        <f t="shared" si="2"/>
        <v>SO Soleure</v>
      </c>
      <c r="D83" s="107"/>
      <c r="E83" s="318"/>
      <c r="F83" s="311" t="s">
        <v>228</v>
      </c>
      <c r="G83" s="319" t="s">
        <v>583</v>
      </c>
      <c r="H83" s="320" t="s">
        <v>967</v>
      </c>
    </row>
    <row r="84" spans="1:8" ht="15" customHeight="1" x14ac:dyDescent="0.4">
      <c r="A84" s="132" t="s">
        <v>690</v>
      </c>
      <c r="B84" s="131">
        <f t="shared" si="3"/>
        <v>80</v>
      </c>
      <c r="C84" s="129" t="str">
        <f t="shared" si="2"/>
        <v>SG Saint-Gall</v>
      </c>
      <c r="D84" s="107"/>
      <c r="E84" s="318"/>
      <c r="F84" s="311" t="s">
        <v>229</v>
      </c>
      <c r="G84" s="319" t="s">
        <v>580</v>
      </c>
      <c r="H84" s="320" t="s">
        <v>968</v>
      </c>
    </row>
    <row r="85" spans="1:8" ht="15" customHeight="1" x14ac:dyDescent="0.4">
      <c r="A85" s="132" t="s">
        <v>691</v>
      </c>
      <c r="B85" s="131">
        <f t="shared" si="3"/>
        <v>81</v>
      </c>
      <c r="C85" s="129" t="str">
        <f t="shared" si="2"/>
        <v>TI Tessin</v>
      </c>
      <c r="D85" s="107"/>
      <c r="E85" s="318"/>
      <c r="F85" s="311" t="s">
        <v>584</v>
      </c>
      <c r="G85" s="319" t="s">
        <v>584</v>
      </c>
      <c r="H85" s="320" t="s">
        <v>969</v>
      </c>
    </row>
    <row r="86" spans="1:8" ht="15" customHeight="1" x14ac:dyDescent="0.4">
      <c r="A86" s="132" t="s">
        <v>692</v>
      </c>
      <c r="B86" s="131">
        <f t="shared" si="3"/>
        <v>82</v>
      </c>
      <c r="C86" s="129" t="str">
        <f t="shared" si="2"/>
        <v>TG Thurgovie</v>
      </c>
      <c r="D86" s="107"/>
      <c r="E86" s="318"/>
      <c r="F86" s="311" t="s">
        <v>230</v>
      </c>
      <c r="G86" s="319" t="s">
        <v>1270</v>
      </c>
      <c r="H86" s="320" t="s">
        <v>970</v>
      </c>
    </row>
    <row r="87" spans="1:8" ht="15" customHeight="1" x14ac:dyDescent="0.4">
      <c r="A87" s="132" t="s">
        <v>693</v>
      </c>
      <c r="B87" s="131">
        <f t="shared" si="3"/>
        <v>83</v>
      </c>
      <c r="C87" s="129" t="str">
        <f t="shared" si="2"/>
        <v>UR Uri</v>
      </c>
      <c r="D87" s="107"/>
      <c r="E87" s="318"/>
      <c r="F87" s="311" t="s">
        <v>589</v>
      </c>
      <c r="G87" s="319" t="s">
        <v>589</v>
      </c>
      <c r="H87" s="320" t="s">
        <v>589</v>
      </c>
    </row>
    <row r="88" spans="1:8" ht="15" customHeight="1" x14ac:dyDescent="0.4">
      <c r="A88" s="132" t="s">
        <v>694</v>
      </c>
      <c r="B88" s="131">
        <f t="shared" si="3"/>
        <v>84</v>
      </c>
      <c r="C88" s="129" t="str">
        <f t="shared" si="2"/>
        <v>VD Vaud</v>
      </c>
      <c r="D88" s="107"/>
      <c r="E88" s="318"/>
      <c r="F88" s="311" t="s">
        <v>231</v>
      </c>
      <c r="G88" s="319" t="s">
        <v>574</v>
      </c>
      <c r="H88" s="320" t="s">
        <v>231</v>
      </c>
    </row>
    <row r="89" spans="1:8" ht="15" customHeight="1" x14ac:dyDescent="0.4">
      <c r="A89" s="132" t="s">
        <v>695</v>
      </c>
      <c r="B89" s="131">
        <f t="shared" si="3"/>
        <v>85</v>
      </c>
      <c r="C89" s="129" t="str">
        <f t="shared" si="2"/>
        <v>VS Valais</v>
      </c>
      <c r="D89" s="107"/>
      <c r="E89" s="318"/>
      <c r="F89" s="311" t="s">
        <v>232</v>
      </c>
      <c r="G89" s="319" t="s">
        <v>573</v>
      </c>
      <c r="H89" s="320" t="s">
        <v>971</v>
      </c>
    </row>
    <row r="90" spans="1:8" ht="15" customHeight="1" x14ac:dyDescent="0.4">
      <c r="A90" s="132" t="s">
        <v>696</v>
      </c>
      <c r="B90" s="131">
        <f t="shared" si="3"/>
        <v>86</v>
      </c>
      <c r="C90" s="129" t="str">
        <f t="shared" si="2"/>
        <v>ZG Zoug</v>
      </c>
      <c r="D90" s="107"/>
      <c r="E90" s="318"/>
      <c r="F90" s="311" t="s">
        <v>233</v>
      </c>
      <c r="G90" s="319" t="s">
        <v>572</v>
      </c>
      <c r="H90" s="320" t="s">
        <v>972</v>
      </c>
    </row>
    <row r="91" spans="1:8" ht="15" customHeight="1" x14ac:dyDescent="0.4">
      <c r="A91" s="132" t="s">
        <v>697</v>
      </c>
      <c r="B91" s="131">
        <f t="shared" si="3"/>
        <v>87</v>
      </c>
      <c r="C91" s="129" t="str">
        <f t="shared" si="2"/>
        <v>ZH Zurich</v>
      </c>
      <c r="D91" s="107"/>
      <c r="E91" s="318"/>
      <c r="F91" s="311" t="s">
        <v>234</v>
      </c>
      <c r="G91" s="319" t="s">
        <v>586</v>
      </c>
      <c r="H91" s="320" t="s">
        <v>973</v>
      </c>
    </row>
    <row r="92" spans="1:8" ht="15" customHeight="1" x14ac:dyDescent="0.4">
      <c r="A92" s="132" t="s">
        <v>698</v>
      </c>
      <c r="B92" s="131">
        <f t="shared" si="3"/>
        <v>88</v>
      </c>
      <c r="C92" s="129" t="str">
        <f t="shared" si="2"/>
        <v>aucun</v>
      </c>
      <c r="D92" s="107"/>
      <c r="E92" s="318"/>
      <c r="F92" s="311" t="s">
        <v>235</v>
      </c>
      <c r="G92" s="319" t="s">
        <v>609</v>
      </c>
      <c r="H92" s="320" t="s">
        <v>974</v>
      </c>
    </row>
    <row r="93" spans="1:8" ht="15" customHeight="1" x14ac:dyDescent="0.4">
      <c r="A93" s="132" t="s">
        <v>699</v>
      </c>
      <c r="B93" s="131">
        <f t="shared" si="3"/>
        <v>89</v>
      </c>
      <c r="C93" s="129" t="str">
        <f t="shared" si="2"/>
        <v>AEnEC</v>
      </c>
      <c r="D93" s="107"/>
      <c r="E93" s="318"/>
      <c r="F93" s="311" t="s">
        <v>236</v>
      </c>
      <c r="G93" s="319" t="s">
        <v>608</v>
      </c>
      <c r="H93" s="320" t="s">
        <v>975</v>
      </c>
    </row>
    <row r="94" spans="1:8" ht="15" customHeight="1" x14ac:dyDescent="0.4">
      <c r="A94" s="132" t="s">
        <v>700</v>
      </c>
      <c r="B94" s="131">
        <f t="shared" si="3"/>
        <v>90</v>
      </c>
      <c r="C94" s="129" t="str">
        <f t="shared" si="2"/>
        <v>Convention cantonale</v>
      </c>
      <c r="D94" s="107"/>
      <c r="E94" s="318"/>
      <c r="F94" s="311" t="s">
        <v>237</v>
      </c>
      <c r="G94" s="319" t="s">
        <v>611</v>
      </c>
      <c r="H94" s="320" t="s">
        <v>976</v>
      </c>
    </row>
    <row r="95" spans="1:8" ht="15" customHeight="1" x14ac:dyDescent="0.4">
      <c r="A95" s="132"/>
      <c r="B95" s="131">
        <f t="shared" si="3"/>
        <v>91</v>
      </c>
      <c r="C95" s="129">
        <f t="shared" si="2"/>
        <v>0</v>
      </c>
      <c r="D95" s="107"/>
      <c r="E95" s="318"/>
      <c r="F95" s="311"/>
      <c r="G95" s="319"/>
      <c r="H95" s="320"/>
    </row>
    <row r="96" spans="1:8" ht="15" customHeight="1" x14ac:dyDescent="0.4">
      <c r="A96" s="132" t="s">
        <v>747</v>
      </c>
      <c r="B96" s="131">
        <f t="shared" si="3"/>
        <v>92</v>
      </c>
      <c r="C96" s="129">
        <f t="shared" si="2"/>
        <v>0</v>
      </c>
      <c r="D96" s="107"/>
      <c r="E96" s="318"/>
      <c r="F96" s="311"/>
      <c r="G96" s="319"/>
      <c r="H96" s="320"/>
    </row>
    <row r="97" spans="1:8" ht="15" customHeight="1" x14ac:dyDescent="0.4">
      <c r="A97" s="132"/>
      <c r="B97" s="131">
        <f t="shared" si="3"/>
        <v>93</v>
      </c>
      <c r="C97" s="129" t="str">
        <f t="shared" si="2"/>
        <v>Nationale</v>
      </c>
      <c r="D97" s="107"/>
      <c r="E97" s="318"/>
      <c r="F97" s="311" t="s">
        <v>238</v>
      </c>
      <c r="G97" s="319" t="s">
        <v>748</v>
      </c>
      <c r="H97" s="320" t="s">
        <v>977</v>
      </c>
    </row>
    <row r="98" spans="1:8" ht="15" customHeight="1" x14ac:dyDescent="0.4">
      <c r="A98" s="132"/>
      <c r="B98" s="131">
        <f t="shared" si="3"/>
        <v>94</v>
      </c>
      <c r="C98" s="129" t="str">
        <f t="shared" si="2"/>
        <v>Régionale</v>
      </c>
      <c r="D98" s="107"/>
      <c r="E98" s="318"/>
      <c r="F98" s="311" t="s">
        <v>239</v>
      </c>
      <c r="G98" s="319" t="s">
        <v>749</v>
      </c>
      <c r="H98" s="320" t="s">
        <v>978</v>
      </c>
    </row>
    <row r="99" spans="1:8" ht="15" customHeight="1" x14ac:dyDescent="0.4">
      <c r="A99" s="132"/>
      <c r="B99" s="131">
        <f t="shared" si="3"/>
        <v>95</v>
      </c>
      <c r="C99" s="129" t="str">
        <f t="shared" si="2"/>
        <v>Cantonale</v>
      </c>
      <c r="D99" s="107"/>
      <c r="E99" s="318"/>
      <c r="F99" s="311" t="s">
        <v>240</v>
      </c>
      <c r="G99" s="319" t="s">
        <v>750</v>
      </c>
      <c r="H99" s="320" t="s">
        <v>240</v>
      </c>
    </row>
    <row r="100" spans="1:8" ht="15" customHeight="1" x14ac:dyDescent="0.4">
      <c r="A100" s="132"/>
      <c r="B100" s="131">
        <f t="shared" si="3"/>
        <v>96</v>
      </c>
      <c r="C100" s="129" t="str">
        <f t="shared" si="2"/>
        <v>Locale</v>
      </c>
      <c r="D100" s="107"/>
      <c r="E100" s="318"/>
      <c r="F100" s="311" t="s">
        <v>241</v>
      </c>
      <c r="G100" s="319" t="s">
        <v>751</v>
      </c>
      <c r="H100" s="320" t="s">
        <v>241</v>
      </c>
    </row>
    <row r="101" spans="1:8" ht="15" customHeight="1" x14ac:dyDescent="0.4">
      <c r="A101" s="130" t="s">
        <v>616</v>
      </c>
      <c r="B101" s="131">
        <f t="shared" si="3"/>
        <v>97</v>
      </c>
      <c r="C101" s="129">
        <f t="shared" si="2"/>
        <v>0</v>
      </c>
      <c r="D101" s="107"/>
      <c r="E101" s="318"/>
      <c r="F101" s="311"/>
      <c r="G101" s="319"/>
      <c r="H101" s="320"/>
    </row>
    <row r="102" spans="1:8" ht="15" customHeight="1" x14ac:dyDescent="0.4">
      <c r="A102" s="133" t="s">
        <v>851</v>
      </c>
      <c r="B102" s="131">
        <f t="shared" si="3"/>
        <v>98</v>
      </c>
      <c r="C102" s="129" t="str">
        <f t="shared" si="2"/>
        <v>Numéro du programme</v>
      </c>
      <c r="D102" s="107"/>
      <c r="E102" s="318"/>
      <c r="F102" s="311" t="s">
        <v>242</v>
      </c>
      <c r="G102" s="319" t="s">
        <v>820</v>
      </c>
      <c r="H102" s="320" t="s">
        <v>979</v>
      </c>
    </row>
    <row r="103" spans="1:8" ht="15" customHeight="1" x14ac:dyDescent="0.4">
      <c r="A103" s="133" t="s">
        <v>652</v>
      </c>
      <c r="B103" s="131">
        <f t="shared" si="3"/>
        <v>99</v>
      </c>
      <c r="C103" s="129" t="str">
        <f t="shared" si="2"/>
        <v>Contrôle du remplissage du formulaire</v>
      </c>
      <c r="D103" s="107"/>
      <c r="E103" s="318"/>
      <c r="F103" s="311" t="s">
        <v>875</v>
      </c>
      <c r="G103" s="319" t="s">
        <v>816</v>
      </c>
      <c r="H103" s="320" t="s">
        <v>980</v>
      </c>
    </row>
    <row r="104" spans="1:8" ht="15" customHeight="1" x14ac:dyDescent="0.4">
      <c r="A104" s="133" t="s">
        <v>864</v>
      </c>
      <c r="B104" s="131">
        <f t="shared" si="3"/>
        <v>100</v>
      </c>
      <c r="C104" s="129" t="str">
        <f t="shared" si="2"/>
        <v>Personne de contact</v>
      </c>
      <c r="D104" s="107"/>
      <c r="E104" s="318"/>
      <c r="F104" s="311" t="s">
        <v>243</v>
      </c>
      <c r="G104" s="319" t="s">
        <v>819</v>
      </c>
      <c r="H104" s="320" t="s">
        <v>981</v>
      </c>
    </row>
    <row r="105" spans="1:8" ht="15" customHeight="1" x14ac:dyDescent="0.4">
      <c r="A105" s="133"/>
      <c r="B105" s="131">
        <f t="shared" si="3"/>
        <v>101</v>
      </c>
      <c r="C105" s="129">
        <f t="shared" si="2"/>
        <v>0</v>
      </c>
      <c r="D105" s="107"/>
      <c r="E105" s="318"/>
      <c r="F105" s="311"/>
      <c r="G105" s="319"/>
      <c r="H105" s="320"/>
    </row>
    <row r="106" spans="1:8" ht="15" customHeight="1" x14ac:dyDescent="0.4">
      <c r="A106" s="130" t="s">
        <v>776</v>
      </c>
      <c r="B106" s="131">
        <f t="shared" si="3"/>
        <v>102</v>
      </c>
      <c r="C106" s="129">
        <f t="shared" si="2"/>
        <v>0</v>
      </c>
      <c r="D106" s="107"/>
      <c r="E106" s="318"/>
      <c r="F106" s="311"/>
      <c r="G106" s="319"/>
      <c r="H106" s="320"/>
    </row>
    <row r="107" spans="1:8" ht="15" customHeight="1" x14ac:dyDescent="0.4">
      <c r="A107" s="133" t="s">
        <v>94</v>
      </c>
      <c r="B107" s="131">
        <f t="shared" si="3"/>
        <v>103</v>
      </c>
      <c r="C107" s="129" t="str">
        <f t="shared" si="2"/>
        <v>Statut</v>
      </c>
      <c r="D107" s="107"/>
      <c r="E107" s="318"/>
      <c r="F107" s="311" t="s">
        <v>170</v>
      </c>
      <c r="G107" s="319" t="s">
        <v>552</v>
      </c>
      <c r="H107" s="320" t="s">
        <v>906</v>
      </c>
    </row>
    <row r="108" spans="1:8" ht="15" customHeight="1" x14ac:dyDescent="0.4">
      <c r="A108" s="133" t="s">
        <v>637</v>
      </c>
      <c r="B108" s="131">
        <f t="shared" si="3"/>
        <v>104</v>
      </c>
      <c r="C108" s="129" t="str">
        <f t="shared" si="2"/>
        <v>Chiffres-clés du programme</v>
      </c>
      <c r="D108" s="107"/>
      <c r="E108" s="318"/>
      <c r="F108" s="311" t="s">
        <v>172</v>
      </c>
      <c r="G108" s="319" t="s">
        <v>776</v>
      </c>
      <c r="H108" s="320" t="s">
        <v>908</v>
      </c>
    </row>
    <row r="109" spans="1:8" ht="15" customHeight="1" x14ac:dyDescent="0.4">
      <c r="A109" s="133"/>
      <c r="B109" s="131">
        <f t="shared" si="3"/>
        <v>105</v>
      </c>
      <c r="C109" s="129" t="str">
        <f t="shared" si="2"/>
        <v>Durée du programme</v>
      </c>
      <c r="D109" s="107"/>
      <c r="E109" s="318"/>
      <c r="F109" s="311" t="s">
        <v>876</v>
      </c>
      <c r="G109" s="319" t="s">
        <v>522</v>
      </c>
      <c r="H109" s="320" t="s">
        <v>982</v>
      </c>
    </row>
    <row r="110" spans="1:8" ht="15" customHeight="1" x14ac:dyDescent="0.4">
      <c r="A110" s="133"/>
      <c r="B110" s="131">
        <f t="shared" si="3"/>
        <v>106</v>
      </c>
      <c r="C110" s="129" t="str">
        <f t="shared" si="2"/>
        <v>mois</v>
      </c>
      <c r="D110" s="107"/>
      <c r="E110" s="318"/>
      <c r="F110" s="311" t="s">
        <v>524</v>
      </c>
      <c r="G110" s="319" t="s">
        <v>523</v>
      </c>
      <c r="H110" s="320" t="s">
        <v>983</v>
      </c>
    </row>
    <row r="111" spans="1:8" ht="15" customHeight="1" x14ac:dyDescent="0.4">
      <c r="A111" s="133"/>
      <c r="B111" s="131">
        <f t="shared" si="3"/>
        <v>107</v>
      </c>
      <c r="C111" s="129" t="str">
        <f t="shared" si="2"/>
        <v>Consommation électrique sans programme</v>
      </c>
      <c r="D111" s="107"/>
      <c r="E111" s="318"/>
      <c r="F111" s="311" t="s">
        <v>1859</v>
      </c>
      <c r="G111" s="319" t="s">
        <v>1861</v>
      </c>
      <c r="H111" s="320" t="s">
        <v>1860</v>
      </c>
    </row>
    <row r="112" spans="1:8" ht="15" customHeight="1" x14ac:dyDescent="0.4">
      <c r="A112" s="133"/>
      <c r="B112" s="131">
        <f t="shared" si="3"/>
        <v>108</v>
      </c>
      <c r="C112" s="129" t="str">
        <f t="shared" si="2"/>
        <v>Ø Évolution en kWh/an par unité (moyenne)</v>
      </c>
      <c r="D112" s="107"/>
      <c r="E112" s="318"/>
      <c r="F112" s="311" t="s">
        <v>1579</v>
      </c>
      <c r="G112" s="319" t="s">
        <v>1574</v>
      </c>
      <c r="H112" s="320" t="s">
        <v>1580</v>
      </c>
    </row>
    <row r="113" spans="1:8" ht="15" customHeight="1" x14ac:dyDescent="0.4">
      <c r="A113" s="133"/>
      <c r="B113" s="131">
        <f t="shared" si="3"/>
        <v>109</v>
      </c>
      <c r="C113" s="129" t="str">
        <f t="shared" si="2"/>
        <v>Ø Tarif de l'électricité (TVA incluse)</v>
      </c>
      <c r="D113" s="107"/>
      <c r="E113" s="318"/>
      <c r="F113" s="311" t="s">
        <v>1629</v>
      </c>
      <c r="G113" s="319" t="s">
        <v>1753</v>
      </c>
      <c r="H113" s="320" t="s">
        <v>1754</v>
      </c>
    </row>
    <row r="114" spans="1:8" ht="15" customHeight="1" x14ac:dyDescent="0.4">
      <c r="A114" s="133"/>
      <c r="B114" s="131">
        <f t="shared" si="3"/>
        <v>110</v>
      </c>
      <c r="C114" s="129" t="str">
        <f t="shared" si="2"/>
        <v>Ø Durée d'utilisation</v>
      </c>
      <c r="D114" s="107"/>
      <c r="E114" s="318"/>
      <c r="F114" s="311" t="s">
        <v>244</v>
      </c>
      <c r="G114" s="319" t="s">
        <v>837</v>
      </c>
      <c r="H114" s="320" t="s">
        <v>984</v>
      </c>
    </row>
    <row r="115" spans="1:8" ht="15" customHeight="1" x14ac:dyDescent="0.4">
      <c r="A115" s="133"/>
      <c r="B115" s="131">
        <f t="shared" si="3"/>
        <v>111</v>
      </c>
      <c r="C115" s="129" t="str">
        <f t="shared" si="2"/>
        <v>Consommation d'électricité totale sans programme</v>
      </c>
      <c r="D115" s="107"/>
      <c r="E115" s="318"/>
      <c r="F115" s="311" t="s">
        <v>1576</v>
      </c>
      <c r="G115" s="319" t="s">
        <v>1575</v>
      </c>
      <c r="H115" s="320" t="s">
        <v>1581</v>
      </c>
    </row>
    <row r="116" spans="1:8" ht="15" customHeight="1" x14ac:dyDescent="0.4">
      <c r="A116" s="133"/>
      <c r="B116" s="131">
        <f t="shared" si="3"/>
        <v>112</v>
      </c>
      <c r="C116" s="129" t="str">
        <f t="shared" si="2"/>
        <v>Consommation d'électricité totale avec le programme</v>
      </c>
      <c r="D116" s="107"/>
      <c r="E116" s="318"/>
      <c r="F116" s="311" t="s">
        <v>1578</v>
      </c>
      <c r="G116" s="319" t="s">
        <v>1577</v>
      </c>
      <c r="H116" s="320" t="s">
        <v>1582</v>
      </c>
    </row>
    <row r="117" spans="1:8" ht="15" customHeight="1" x14ac:dyDescent="0.4">
      <c r="A117" s="133"/>
      <c r="B117" s="131">
        <f t="shared" si="3"/>
        <v>113</v>
      </c>
      <c r="C117" s="129" t="str">
        <f t="shared" si="2"/>
        <v>Économies d'électricité attendues</v>
      </c>
      <c r="D117" s="107"/>
      <c r="E117" s="318"/>
      <c r="F117" s="311" t="s">
        <v>245</v>
      </c>
      <c r="G117" s="319" t="s">
        <v>38</v>
      </c>
      <c r="H117" s="320" t="s">
        <v>985</v>
      </c>
    </row>
    <row r="118" spans="1:8" ht="15" customHeight="1" x14ac:dyDescent="0.4">
      <c r="A118" s="133"/>
      <c r="B118" s="131">
        <f t="shared" si="3"/>
        <v>114</v>
      </c>
      <c r="C118" s="129" t="str">
        <f t="shared" si="2"/>
        <v>Répartition des économies sur la durée du programme</v>
      </c>
      <c r="D118" s="107"/>
      <c r="E118" s="318"/>
      <c r="F118" s="311" t="s">
        <v>894</v>
      </c>
      <c r="G118" s="319" t="s">
        <v>532</v>
      </c>
      <c r="H118" s="320" t="s">
        <v>986</v>
      </c>
    </row>
    <row r="119" spans="1:8" ht="15" customHeight="1" x14ac:dyDescent="0.4">
      <c r="A119" s="133"/>
      <c r="B119" s="131">
        <f t="shared" si="3"/>
        <v>115</v>
      </c>
      <c r="C119" s="129" t="str">
        <f t="shared" si="2"/>
        <v>Ø Économies en kWh/an</v>
      </c>
      <c r="D119" s="107"/>
      <c r="E119" s="318"/>
      <c r="F119" s="311" t="s">
        <v>246</v>
      </c>
      <c r="G119" s="319" t="s">
        <v>74</v>
      </c>
      <c r="H119" s="320" t="s">
        <v>987</v>
      </c>
    </row>
    <row r="120" spans="1:8" ht="15" customHeight="1" x14ac:dyDescent="0.4">
      <c r="A120" s="133"/>
      <c r="B120" s="131">
        <f t="shared" si="3"/>
        <v>116</v>
      </c>
      <c r="C120" s="129" t="str">
        <f t="shared" si="2"/>
        <v>Économies d'électricité cumulée imputable</v>
      </c>
      <c r="D120" s="107"/>
      <c r="E120" s="318"/>
      <c r="F120" s="311" t="s">
        <v>1880</v>
      </c>
      <c r="G120" s="319" t="s">
        <v>1881</v>
      </c>
      <c r="H120" s="320" t="s">
        <v>1882</v>
      </c>
    </row>
    <row r="121" spans="1:8" ht="15" customHeight="1" x14ac:dyDescent="0.4">
      <c r="A121" s="133"/>
      <c r="B121" s="131">
        <f t="shared" si="3"/>
        <v>117</v>
      </c>
      <c r="C121" s="129" t="str">
        <f t="shared" si="2"/>
        <v>Coûts du programme</v>
      </c>
      <c r="D121" s="107"/>
      <c r="E121" s="318"/>
      <c r="F121" s="311" t="s">
        <v>247</v>
      </c>
      <c r="G121" s="319" t="s">
        <v>770</v>
      </c>
      <c r="H121" s="320" t="s">
        <v>988</v>
      </c>
    </row>
    <row r="122" spans="1:8" ht="15" customHeight="1" x14ac:dyDescent="0.4">
      <c r="A122" s="133"/>
      <c r="B122" s="131">
        <f t="shared" si="3"/>
        <v>118</v>
      </c>
      <c r="C122" s="129" t="str">
        <f t="shared" si="2"/>
        <v>Coûts de management et de communication</v>
      </c>
      <c r="D122" s="107"/>
      <c r="E122" s="318"/>
      <c r="F122" s="311" t="s">
        <v>1309</v>
      </c>
      <c r="G122" s="319" t="s">
        <v>1296</v>
      </c>
      <c r="H122" s="320" t="s">
        <v>1315</v>
      </c>
    </row>
    <row r="123" spans="1:8" ht="15" customHeight="1" x14ac:dyDescent="0.4">
      <c r="A123" s="133"/>
      <c r="B123" s="131">
        <f t="shared" si="3"/>
        <v>119</v>
      </c>
      <c r="C123" s="129" t="str">
        <f t="shared" si="2"/>
        <v>Coûts dépendants de la mise en œuvre</v>
      </c>
      <c r="D123" s="107"/>
      <c r="E123" s="318"/>
      <c r="F123" s="311" t="s">
        <v>895</v>
      </c>
      <c r="G123" s="319" t="s">
        <v>537</v>
      </c>
      <c r="H123" s="320" t="s">
        <v>989</v>
      </c>
    </row>
    <row r="124" spans="1:8" ht="15" customHeight="1" x14ac:dyDescent="0.4">
      <c r="A124" s="133"/>
      <c r="B124" s="131">
        <f t="shared" si="3"/>
        <v>120</v>
      </c>
      <c r="C124" s="129" t="str">
        <f t="shared" si="2"/>
        <v>Contributions au financement, autres</v>
      </c>
      <c r="D124" s="107"/>
      <c r="E124" s="318"/>
      <c r="F124" s="311" t="s">
        <v>248</v>
      </c>
      <c r="G124" s="319" t="s">
        <v>122</v>
      </c>
      <c r="H124" s="320" t="s">
        <v>990</v>
      </c>
    </row>
    <row r="125" spans="1:8" ht="15" customHeight="1" x14ac:dyDescent="0.4">
      <c r="A125" s="133"/>
      <c r="B125" s="131">
        <f t="shared" si="3"/>
        <v>121</v>
      </c>
      <c r="C125" s="129" t="str">
        <f t="shared" si="2"/>
        <v>Contribution de Prokilowatt TVA incluse</v>
      </c>
      <c r="D125" s="107"/>
      <c r="E125" s="318"/>
      <c r="F125" s="311" t="s">
        <v>1631</v>
      </c>
      <c r="G125" s="319" t="s">
        <v>1755</v>
      </c>
      <c r="H125" s="320" t="s">
        <v>1756</v>
      </c>
    </row>
    <row r="126" spans="1:8" ht="15" customHeight="1" x14ac:dyDescent="0.4">
      <c r="A126" s="133"/>
      <c r="B126" s="131">
        <f t="shared" si="3"/>
        <v>122</v>
      </c>
      <c r="C126" s="129" t="str">
        <f t="shared" si="2"/>
        <v>Durée de retour sur investissement du programme (sans moyens de soutien engagés)</v>
      </c>
      <c r="D126" s="107"/>
      <c r="E126" s="318"/>
      <c r="F126" s="311" t="s">
        <v>1566</v>
      </c>
      <c r="G126" s="319" t="s">
        <v>1565</v>
      </c>
      <c r="H126" s="320" t="s">
        <v>1567</v>
      </c>
    </row>
    <row r="127" spans="1:8" ht="15" customHeight="1" x14ac:dyDescent="0.4">
      <c r="A127" s="133"/>
      <c r="B127" s="131">
        <f t="shared" si="3"/>
        <v>123</v>
      </c>
      <c r="C127" s="129" t="str">
        <f t="shared" si="2"/>
        <v>Efficacité du programme</v>
      </c>
      <c r="D127" s="107"/>
      <c r="E127" s="318"/>
      <c r="F127" s="311" t="s">
        <v>250</v>
      </c>
      <c r="G127" s="319" t="s">
        <v>71</v>
      </c>
      <c r="H127" s="320" t="s">
        <v>992</v>
      </c>
    </row>
    <row r="128" spans="1:8" ht="15" customHeight="1" x14ac:dyDescent="0.4">
      <c r="A128" s="133"/>
      <c r="B128" s="131">
        <f t="shared" si="3"/>
        <v>124</v>
      </c>
      <c r="C128" s="129" t="str">
        <f t="shared" si="2"/>
        <v>Efficacité des moyens de soutien engagés</v>
      </c>
      <c r="D128" s="107"/>
      <c r="E128" s="318"/>
      <c r="F128" s="311" t="s">
        <v>1281</v>
      </c>
      <c r="G128" s="319" t="s">
        <v>1282</v>
      </c>
      <c r="H128" s="320" t="s">
        <v>993</v>
      </c>
    </row>
    <row r="129" spans="1:8" ht="15" customHeight="1" x14ac:dyDescent="0.4">
      <c r="A129" s="133"/>
      <c r="B129" s="131">
        <f t="shared" si="3"/>
        <v>125</v>
      </c>
      <c r="C129" s="129" t="str">
        <f t="shared" si="2"/>
        <v>[kWh/an]</v>
      </c>
      <c r="D129" s="107"/>
      <c r="E129" s="318"/>
      <c r="F129" s="311" t="s">
        <v>1420</v>
      </c>
      <c r="G129" s="319" t="s">
        <v>1394</v>
      </c>
      <c r="H129" s="320" t="s">
        <v>1427</v>
      </c>
    </row>
    <row r="130" spans="1:8" ht="15" customHeight="1" x14ac:dyDescent="0.4">
      <c r="A130" s="133"/>
      <c r="B130" s="131">
        <f t="shared" si="3"/>
        <v>126</v>
      </c>
      <c r="C130" s="129" t="str">
        <f t="shared" si="2"/>
        <v>[CHF/an]</v>
      </c>
      <c r="D130" s="107"/>
      <c r="E130" s="318"/>
      <c r="F130" s="311" t="s">
        <v>1421</v>
      </c>
      <c r="G130" s="319" t="s">
        <v>1423</v>
      </c>
      <c r="H130" s="320" t="s">
        <v>1428</v>
      </c>
    </row>
    <row r="131" spans="1:8" ht="15" customHeight="1" x14ac:dyDescent="0.4">
      <c r="A131" s="133"/>
      <c r="B131" s="131">
        <f t="shared" si="3"/>
        <v>127</v>
      </c>
      <c r="C131" s="129" t="str">
        <f t="shared" si="2"/>
        <v>[Ct./kWh]</v>
      </c>
      <c r="D131" s="107"/>
      <c r="E131" s="318"/>
      <c r="F131" s="311" t="s">
        <v>1422</v>
      </c>
      <c r="G131" s="319" t="s">
        <v>1424</v>
      </c>
      <c r="H131" s="320" t="s">
        <v>1429</v>
      </c>
    </row>
    <row r="132" spans="1:8" ht="15" customHeight="1" x14ac:dyDescent="0.4">
      <c r="A132" s="133"/>
      <c r="B132" s="131">
        <f t="shared" si="3"/>
        <v>128</v>
      </c>
      <c r="C132" s="129" t="str">
        <f t="shared" si="2"/>
        <v>[an(s)]</v>
      </c>
      <c r="D132" s="107"/>
      <c r="E132" s="318"/>
      <c r="F132" s="311" t="s">
        <v>1426</v>
      </c>
      <c r="G132" s="319" t="s">
        <v>1425</v>
      </c>
      <c r="H132" s="320" t="s">
        <v>1430</v>
      </c>
    </row>
    <row r="133" spans="1:8" ht="15" customHeight="1" x14ac:dyDescent="0.4">
      <c r="A133" s="133"/>
      <c r="B133" s="131">
        <f t="shared" si="3"/>
        <v>129</v>
      </c>
      <c r="C133" s="129" t="str">
        <f t="shared" ref="C133:C196" si="4">IF($B$1="f",F133,IF($B$1="d",G133,H133))</f>
        <v>Indications et explications</v>
      </c>
      <c r="D133" s="107"/>
      <c r="E133" s="318"/>
      <c r="F133" s="311" t="s">
        <v>252</v>
      </c>
      <c r="G133" s="319" t="s">
        <v>604</v>
      </c>
      <c r="H133" s="320" t="s">
        <v>995</v>
      </c>
    </row>
    <row r="134" spans="1:8" ht="15" customHeight="1" x14ac:dyDescent="0.4">
      <c r="A134" s="133"/>
      <c r="B134" s="131">
        <f t="shared" ref="B134:B197" si="5">B133+1</f>
        <v>130</v>
      </c>
      <c r="C134" s="129">
        <f t="shared" si="4"/>
        <v>0</v>
      </c>
      <c r="D134" s="107"/>
      <c r="E134" s="318"/>
      <c r="F134" s="311"/>
      <c r="G134" s="319"/>
      <c r="H134" s="320"/>
    </row>
    <row r="135" spans="1:8" ht="15" customHeight="1" x14ac:dyDescent="0.4">
      <c r="A135" s="133"/>
      <c r="B135" s="131">
        <f t="shared" si="5"/>
        <v>131</v>
      </c>
      <c r="C135" s="129" t="str">
        <f t="shared" si="4"/>
        <v>Consommation moyenne d'électricité sans programme par an</v>
      </c>
      <c r="D135" s="107"/>
      <c r="E135" s="318"/>
      <c r="F135" s="311" t="s">
        <v>253</v>
      </c>
      <c r="G135" s="319" t="s">
        <v>777</v>
      </c>
      <c r="H135" s="320" t="s">
        <v>996</v>
      </c>
    </row>
    <row r="136" spans="1:8" ht="15" customHeight="1" x14ac:dyDescent="0.4">
      <c r="A136" s="133"/>
      <c r="B136" s="131">
        <f t="shared" si="5"/>
        <v>132</v>
      </c>
      <c r="C136" s="129" t="str">
        <f t="shared" si="4"/>
        <v>Tarif moyen pour le calcul de l'évolution de référence</v>
      </c>
      <c r="D136" s="107"/>
      <c r="E136" s="318"/>
      <c r="F136" s="311" t="s">
        <v>254</v>
      </c>
      <c r="G136" s="319" t="s">
        <v>778</v>
      </c>
      <c r="H136" s="320" t="s">
        <v>997</v>
      </c>
    </row>
    <row r="137" spans="1:8" ht="15" customHeight="1" x14ac:dyDescent="0.4">
      <c r="A137" s="133"/>
      <c r="B137" s="131">
        <f t="shared" si="5"/>
        <v>133</v>
      </c>
      <c r="C137" s="129" t="str">
        <f t="shared" si="4"/>
        <v>Durée d'utilisation des applications qui seront concernées par les mesures</v>
      </c>
      <c r="D137" s="107"/>
      <c r="E137" s="318"/>
      <c r="F137" s="311" t="s">
        <v>255</v>
      </c>
      <c r="G137" s="319" t="s">
        <v>132</v>
      </c>
      <c r="H137" s="320" t="s">
        <v>998</v>
      </c>
    </row>
    <row r="138" spans="1:8" ht="15" customHeight="1" x14ac:dyDescent="0.4">
      <c r="A138" s="133"/>
      <c r="B138" s="131">
        <f t="shared" si="5"/>
        <v>134</v>
      </c>
      <c r="C138" s="129" t="str">
        <f t="shared" si="4"/>
        <v>Évolution de référence - Consommation sans programme sur toute la durée d'utilisation en kWh et en CHF</v>
      </c>
      <c r="D138" s="107"/>
      <c r="E138" s="318"/>
      <c r="F138" s="311" t="s">
        <v>1435</v>
      </c>
      <c r="G138" s="319" t="s">
        <v>75</v>
      </c>
      <c r="H138" s="320" t="s">
        <v>1437</v>
      </c>
    </row>
    <row r="139" spans="1:8" ht="15" customHeight="1" x14ac:dyDescent="0.4">
      <c r="A139" s="133"/>
      <c r="B139" s="131">
        <f t="shared" si="5"/>
        <v>135</v>
      </c>
      <c r="C139" s="129" t="str">
        <f t="shared" si="4"/>
        <v>Consommation moyenne d'électricité avec le programme par an</v>
      </c>
      <c r="D139" s="107"/>
      <c r="E139" s="318"/>
      <c r="F139" s="311" t="s">
        <v>256</v>
      </c>
      <c r="G139" s="319" t="s">
        <v>72</v>
      </c>
      <c r="H139" s="320" t="s">
        <v>999</v>
      </c>
    </row>
    <row r="140" spans="1:8" ht="15" customHeight="1" x14ac:dyDescent="0.4">
      <c r="A140" s="133"/>
      <c r="B140" s="131">
        <f t="shared" si="5"/>
        <v>136</v>
      </c>
      <c r="C140" s="129" t="str">
        <f t="shared" si="4"/>
        <v>Consommation d'électricité avec le programme sur toute la durée d'utilisation en kWh et en CHF</v>
      </c>
      <c r="D140" s="107"/>
      <c r="E140" s="318"/>
      <c r="F140" s="311" t="s">
        <v>257</v>
      </c>
      <c r="G140" s="319" t="s">
        <v>76</v>
      </c>
      <c r="H140" s="320" t="s">
        <v>1000</v>
      </c>
    </row>
    <row r="141" spans="1:8" ht="15" customHeight="1" x14ac:dyDescent="0.4">
      <c r="A141" s="133"/>
      <c r="B141" s="131">
        <f t="shared" si="5"/>
        <v>137</v>
      </c>
      <c r="C141" s="129" t="str">
        <f t="shared" si="4"/>
        <v>Économies moyennes d'électricité par an</v>
      </c>
      <c r="D141" s="107"/>
      <c r="E141" s="318"/>
      <c r="F141" s="311" t="s">
        <v>258</v>
      </c>
      <c r="G141" s="319" t="s">
        <v>73</v>
      </c>
      <c r="H141" s="320" t="s">
        <v>1001</v>
      </c>
    </row>
    <row r="142" spans="1:8" ht="15" customHeight="1" x14ac:dyDescent="0.4">
      <c r="A142" s="133"/>
      <c r="B142" s="131">
        <f t="shared" si="5"/>
        <v>138</v>
      </c>
      <c r="C142" s="129" t="str">
        <f t="shared" si="4"/>
        <v>Économies d'électricité attendues du programme sur toute la durée d'utilisation en kWh et en CHF</v>
      </c>
      <c r="D142" s="107"/>
      <c r="E142" s="318"/>
      <c r="F142" s="311" t="s">
        <v>1434</v>
      </c>
      <c r="G142" s="319" t="s">
        <v>1433</v>
      </c>
      <c r="H142" s="320" t="s">
        <v>1436</v>
      </c>
    </row>
    <row r="143" spans="1:8" ht="15" customHeight="1" x14ac:dyDescent="0.4">
      <c r="A143" s="133"/>
      <c r="B143" s="131">
        <f t="shared" si="5"/>
        <v>139</v>
      </c>
      <c r="C143" s="129" t="str">
        <f t="shared" si="4"/>
        <v>Coût total du programme</v>
      </c>
      <c r="D143" s="107"/>
      <c r="E143" s="318"/>
      <c r="F143" s="311" t="s">
        <v>259</v>
      </c>
      <c r="G143" s="319" t="s">
        <v>779</v>
      </c>
      <c r="H143" s="320" t="s">
        <v>1002</v>
      </c>
    </row>
    <row r="144" spans="1:8" ht="15" customHeight="1" x14ac:dyDescent="0.4">
      <c r="A144" s="133"/>
      <c r="B144" s="131">
        <f t="shared" si="5"/>
        <v>140</v>
      </c>
      <c r="C144" s="129" t="str">
        <f t="shared" si="4"/>
        <v>Contributions « à fonds perdu » de la Confédération, du canton et d'autres organismes publics</v>
      </c>
      <c r="D144" s="107"/>
      <c r="E144" s="318"/>
      <c r="F144" s="311" t="s">
        <v>260</v>
      </c>
      <c r="G144" s="319" t="s">
        <v>160</v>
      </c>
      <c r="H144" s="320" t="s">
        <v>1003</v>
      </c>
    </row>
    <row r="145" spans="1:8" ht="15" customHeight="1" x14ac:dyDescent="0.4">
      <c r="A145" s="133"/>
      <c r="B145" s="131">
        <f t="shared" si="5"/>
        <v>141</v>
      </c>
      <c r="C145" s="129" t="str">
        <f t="shared" si="4"/>
        <v>Contribution sollicitée dans le cadre des appels d'offres publics  - Contribution minimale CHF 150'000, contribution maximale CHF 1 million</v>
      </c>
      <c r="D145" s="107"/>
      <c r="E145" s="318"/>
      <c r="F145" s="311" t="s">
        <v>1283</v>
      </c>
      <c r="G145" s="319" t="s">
        <v>1285</v>
      </c>
      <c r="H145" s="320" t="s">
        <v>1284</v>
      </c>
    </row>
    <row r="146" spans="1:8" ht="15" customHeight="1" x14ac:dyDescent="0.4">
      <c r="A146" s="133"/>
      <c r="B146" s="131">
        <f t="shared" si="5"/>
        <v>142</v>
      </c>
      <c r="C146" s="129" t="str">
        <f t="shared" si="4"/>
        <v>Durée de retour sur investissement du programme</v>
      </c>
      <c r="D146" s="107"/>
      <c r="E146" s="318"/>
      <c r="F146" s="311" t="s">
        <v>249</v>
      </c>
      <c r="G146" s="319" t="s">
        <v>95</v>
      </c>
      <c r="H146" s="320" t="s">
        <v>991</v>
      </c>
    </row>
    <row r="147" spans="1:8" ht="15" customHeight="1" x14ac:dyDescent="0.4">
      <c r="A147" s="133"/>
      <c r="B147" s="131">
        <f t="shared" si="5"/>
        <v>143</v>
      </c>
      <c r="C147" s="129" t="str">
        <f t="shared" si="4"/>
        <v>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v>
      </c>
      <c r="D147" s="107"/>
      <c r="E147" s="318"/>
      <c r="F147" s="311" t="s">
        <v>1446</v>
      </c>
      <c r="G147" s="319" t="s">
        <v>1445</v>
      </c>
      <c r="H147" s="320" t="s">
        <v>1447</v>
      </c>
    </row>
    <row r="148" spans="1:8" ht="15" customHeight="1" x14ac:dyDescent="0.4">
      <c r="A148" s="133"/>
      <c r="B148" s="131">
        <f t="shared" si="5"/>
        <v>144</v>
      </c>
      <c r="C148" s="129" t="str">
        <f t="shared" si="4"/>
        <v>Total</v>
      </c>
      <c r="D148" s="107"/>
      <c r="E148" s="318"/>
      <c r="F148" s="311" t="s">
        <v>536</v>
      </c>
      <c r="G148" s="319" t="s">
        <v>536</v>
      </c>
      <c r="H148" s="320" t="s">
        <v>1004</v>
      </c>
    </row>
    <row r="149" spans="1:8" ht="15" customHeight="1" x14ac:dyDescent="0.4">
      <c r="A149" s="130" t="s">
        <v>802</v>
      </c>
      <c r="B149" s="131">
        <f t="shared" si="5"/>
        <v>145</v>
      </c>
      <c r="C149" s="129" t="str">
        <f t="shared" si="4"/>
        <v>Partenaire principal</v>
      </c>
      <c r="D149" s="107"/>
      <c r="E149" s="318"/>
      <c r="F149" s="311" t="s">
        <v>512</v>
      </c>
      <c r="G149" s="319" t="s">
        <v>120</v>
      </c>
      <c r="H149" s="320" t="s">
        <v>1005</v>
      </c>
    </row>
    <row r="150" spans="1:8" ht="15" customHeight="1" x14ac:dyDescent="0.4">
      <c r="A150" s="133" t="s">
        <v>852</v>
      </c>
      <c r="B150" s="131">
        <f t="shared" si="5"/>
        <v>146</v>
      </c>
      <c r="C150" s="129" t="str">
        <f t="shared" si="4"/>
        <v>Organisation 1 (principal partenaire)</v>
      </c>
      <c r="D150" s="107"/>
      <c r="E150" s="318"/>
      <c r="F150" s="311" t="s">
        <v>261</v>
      </c>
      <c r="G150" s="319" t="s">
        <v>119</v>
      </c>
      <c r="H150" s="320" t="s">
        <v>1006</v>
      </c>
    </row>
    <row r="151" spans="1:8" ht="15" customHeight="1" x14ac:dyDescent="0.4">
      <c r="A151" s="133" t="s">
        <v>853</v>
      </c>
      <c r="B151" s="131">
        <f t="shared" si="5"/>
        <v>147</v>
      </c>
      <c r="C151" s="129" t="str">
        <f t="shared" si="4"/>
        <v>Acronyme du programme</v>
      </c>
      <c r="D151" s="107"/>
      <c r="E151" s="318"/>
      <c r="F151" s="311" t="s">
        <v>262</v>
      </c>
      <c r="G151" s="319" t="s">
        <v>121</v>
      </c>
      <c r="H151" s="320" t="s">
        <v>1007</v>
      </c>
    </row>
    <row r="152" spans="1:8" ht="15" customHeight="1" x14ac:dyDescent="0.4">
      <c r="A152" s="133" t="s">
        <v>705</v>
      </c>
      <c r="B152" s="131">
        <f t="shared" si="5"/>
        <v>148</v>
      </c>
      <c r="C152" s="129" t="str">
        <f t="shared" si="4"/>
        <v>Description du programme</v>
      </c>
      <c r="D152" s="107"/>
      <c r="E152" s="318"/>
      <c r="F152" s="311" t="s">
        <v>263</v>
      </c>
      <c r="G152" s="319" t="s">
        <v>755</v>
      </c>
      <c r="H152" s="320" t="s">
        <v>1008</v>
      </c>
    </row>
    <row r="153" spans="1:8" ht="15" customHeight="1" x14ac:dyDescent="0.4">
      <c r="A153" s="133" t="s">
        <v>637</v>
      </c>
      <c r="B153" s="131">
        <f t="shared" si="5"/>
        <v>149</v>
      </c>
      <c r="C153" s="129" t="str">
        <f t="shared" si="4"/>
        <v>Nom du programme</v>
      </c>
      <c r="D153" s="107"/>
      <c r="E153" s="318"/>
      <c r="F153" s="311" t="s">
        <v>264</v>
      </c>
      <c r="G153" s="319" t="s">
        <v>754</v>
      </c>
      <c r="H153" s="320" t="s">
        <v>1009</v>
      </c>
    </row>
    <row r="154" spans="1:8" ht="15" customHeight="1" x14ac:dyDescent="0.4">
      <c r="A154" s="133" t="s">
        <v>706</v>
      </c>
      <c r="B154" s="131">
        <f t="shared" si="5"/>
        <v>150</v>
      </c>
      <c r="C154" s="129" t="str">
        <f t="shared" si="4"/>
        <v>Acronyme du programme</v>
      </c>
      <c r="D154" s="107"/>
      <c r="E154" s="318"/>
      <c r="F154" s="311" t="s">
        <v>262</v>
      </c>
      <c r="G154" s="319" t="s">
        <v>121</v>
      </c>
      <c r="H154" s="320" t="s">
        <v>1007</v>
      </c>
    </row>
    <row r="155" spans="1:8" ht="15" customHeight="1" x14ac:dyDescent="0.4">
      <c r="A155" s="133" t="s">
        <v>708</v>
      </c>
      <c r="B155" s="131">
        <f t="shared" si="5"/>
        <v>151</v>
      </c>
      <c r="C155" s="129" t="str">
        <f t="shared" si="4"/>
        <v>Brève description du programme (État récapitulatif, publié en cas d'acceptation !)</v>
      </c>
      <c r="D155" s="107"/>
      <c r="E155" s="318"/>
      <c r="F155" s="311" t="s">
        <v>1294</v>
      </c>
      <c r="G155" s="319" t="s">
        <v>1295</v>
      </c>
      <c r="H155" s="320" t="s">
        <v>1010</v>
      </c>
    </row>
    <row r="156" spans="1:8" ht="15" customHeight="1" x14ac:dyDescent="0.4">
      <c r="A156" s="133" t="s">
        <v>711</v>
      </c>
      <c r="B156" s="131">
        <f t="shared" si="5"/>
        <v>152</v>
      </c>
      <c r="C156" s="129" t="str">
        <f t="shared" si="4"/>
        <v>Orientation (couverture) géographique des mesures</v>
      </c>
      <c r="D156" s="107"/>
      <c r="E156" s="318"/>
      <c r="F156" s="311" t="s">
        <v>265</v>
      </c>
      <c r="G156" s="319" t="s">
        <v>825</v>
      </c>
      <c r="H156" s="320" t="s">
        <v>1011</v>
      </c>
    </row>
    <row r="157" spans="1:8" ht="15" customHeight="1" x14ac:dyDescent="0.4">
      <c r="A157" s="133" t="s">
        <v>721</v>
      </c>
      <c r="B157" s="131">
        <f t="shared" si="5"/>
        <v>153</v>
      </c>
      <c r="C157" s="129" t="str">
        <f t="shared" si="4"/>
        <v>Précisions sur l'orientation géographique</v>
      </c>
      <c r="D157" s="107"/>
      <c r="E157" s="318"/>
      <c r="F157" s="311" t="s">
        <v>266</v>
      </c>
      <c r="G157" s="319" t="s">
        <v>752</v>
      </c>
      <c r="H157" s="320" t="s">
        <v>1012</v>
      </c>
    </row>
    <row r="158" spans="1:8" ht="15" customHeight="1" x14ac:dyDescent="0.4">
      <c r="A158" s="133" t="s">
        <v>712</v>
      </c>
      <c r="B158" s="131">
        <f t="shared" si="5"/>
        <v>154</v>
      </c>
      <c r="C158" s="129" t="str">
        <f t="shared" si="4"/>
        <v>Quelle est la durée du programme (en mois) ?</v>
      </c>
      <c r="D158" s="107"/>
      <c r="E158" s="318"/>
      <c r="F158" s="311" t="s">
        <v>267</v>
      </c>
      <c r="G158" s="319" t="s">
        <v>1</v>
      </c>
      <c r="H158" s="320" t="s">
        <v>1013</v>
      </c>
    </row>
    <row r="159" spans="1:8" ht="15" customHeight="1" x14ac:dyDescent="0.4">
      <c r="A159" s="133" t="s">
        <v>713</v>
      </c>
      <c r="B159" s="131">
        <f t="shared" si="5"/>
        <v>155</v>
      </c>
      <c r="C159" s="129" t="str">
        <f t="shared" si="4"/>
        <v>Indications sur la réalisation</v>
      </c>
      <c r="D159" s="107"/>
      <c r="E159" s="318"/>
      <c r="F159" s="311" t="s">
        <v>268</v>
      </c>
      <c r="G159" s="319" t="s">
        <v>600</v>
      </c>
      <c r="H159" s="320" t="s">
        <v>1014</v>
      </c>
    </row>
    <row r="160" spans="1:8" ht="15" customHeight="1" x14ac:dyDescent="0.4">
      <c r="A160" s="133" t="s">
        <v>715</v>
      </c>
      <c r="B160" s="131">
        <f t="shared" si="5"/>
        <v>156</v>
      </c>
      <c r="C160" s="129" t="str">
        <f t="shared" si="4"/>
        <v>Date de réalisation du programme</v>
      </c>
      <c r="D160" s="107"/>
      <c r="E160" s="318"/>
      <c r="F160" s="311" t="s">
        <v>269</v>
      </c>
      <c r="G160" s="319" t="s">
        <v>828</v>
      </c>
      <c r="H160" s="320" t="s">
        <v>1015</v>
      </c>
    </row>
    <row r="161" spans="1:8" ht="15" customHeight="1" x14ac:dyDescent="0.4">
      <c r="A161" s="133" t="s">
        <v>716</v>
      </c>
      <c r="B161" s="131">
        <f t="shared" si="5"/>
        <v>157</v>
      </c>
      <c r="C161" s="129" t="str">
        <f t="shared" si="4"/>
        <v>Remarques concernant le calendrier de réalisation</v>
      </c>
      <c r="D161" s="107"/>
      <c r="E161" s="318"/>
      <c r="F161" s="311" t="s">
        <v>270</v>
      </c>
      <c r="G161" s="319" t="s">
        <v>601</v>
      </c>
      <c r="H161" s="320" t="s">
        <v>1016</v>
      </c>
    </row>
    <row r="162" spans="1:8" ht="15" customHeight="1" x14ac:dyDescent="0.4">
      <c r="A162" s="133" t="s">
        <v>714</v>
      </c>
      <c r="B162" s="131">
        <f t="shared" si="5"/>
        <v>158</v>
      </c>
      <c r="C162" s="129" t="str">
        <f t="shared" si="4"/>
        <v>Début [mois, année]</v>
      </c>
      <c r="D162" s="107"/>
      <c r="E162" s="318"/>
      <c r="F162" s="311" t="s">
        <v>271</v>
      </c>
      <c r="G162" s="319" t="s">
        <v>826</v>
      </c>
      <c r="H162" s="320" t="s">
        <v>1017</v>
      </c>
    </row>
    <row r="163" spans="1:8" ht="15" customHeight="1" x14ac:dyDescent="0.4">
      <c r="A163" s="133" t="s">
        <v>850</v>
      </c>
      <c r="B163" s="131">
        <f t="shared" si="5"/>
        <v>159</v>
      </c>
      <c r="C163" s="129" t="str">
        <f t="shared" si="4"/>
        <v>Fin [mois, année]</v>
      </c>
      <c r="D163" s="107"/>
      <c r="E163" s="318"/>
      <c r="F163" s="311" t="s">
        <v>272</v>
      </c>
      <c r="G163" s="319" t="s">
        <v>827</v>
      </c>
      <c r="H163" s="320" t="s">
        <v>1018</v>
      </c>
    </row>
    <row r="164" spans="1:8" ht="15" customHeight="1" x14ac:dyDescent="0.4">
      <c r="A164" s="133" t="s">
        <v>729</v>
      </c>
      <c r="B164" s="131">
        <f t="shared" si="5"/>
        <v>160</v>
      </c>
      <c r="C164" s="129" t="str">
        <f t="shared" si="4"/>
        <v>Titre du programme</v>
      </c>
      <c r="D164" s="107"/>
      <c r="E164" s="318"/>
      <c r="F164" s="311" t="s">
        <v>273</v>
      </c>
      <c r="G164" s="319" t="s">
        <v>824</v>
      </c>
      <c r="H164" s="320" t="s">
        <v>1019</v>
      </c>
    </row>
    <row r="165" spans="1:8" ht="15" customHeight="1" x14ac:dyDescent="0.4">
      <c r="A165" s="133" t="s">
        <v>722</v>
      </c>
      <c r="B165" s="131">
        <f t="shared" si="5"/>
        <v>161</v>
      </c>
      <c r="C165" s="129" t="str">
        <f t="shared" si="4"/>
        <v>Désignation abrégée (abréviation) du programme (15 caractères maximum)</v>
      </c>
      <c r="D165" s="107"/>
      <c r="E165" s="318"/>
      <c r="F165" s="311" t="s">
        <v>877</v>
      </c>
      <c r="G165" s="319" t="s">
        <v>525</v>
      </c>
      <c r="H165" s="320" t="s">
        <v>1020</v>
      </c>
    </row>
    <row r="166" spans="1:8" ht="15" customHeight="1" x14ac:dyDescent="0.4">
      <c r="A166" s="133" t="s">
        <v>731</v>
      </c>
      <c r="B166" s="131">
        <f t="shared" si="5"/>
        <v>162</v>
      </c>
      <c r="C166" s="129" t="str">
        <f t="shared" si="4"/>
        <v>Indications et explications</v>
      </c>
      <c r="D166" s="107"/>
      <c r="E166" s="318"/>
      <c r="F166" s="311" t="s">
        <v>252</v>
      </c>
      <c r="G166" s="319" t="s">
        <v>604</v>
      </c>
      <c r="H166" s="320" t="s">
        <v>995</v>
      </c>
    </row>
    <row r="167" spans="1:8" ht="15" customHeight="1" x14ac:dyDescent="0.4">
      <c r="A167" s="133" t="s">
        <v>725</v>
      </c>
      <c r="B167" s="131">
        <f t="shared" si="5"/>
        <v>163</v>
      </c>
      <c r="C167" s="129" t="str">
        <f t="shared" si="4"/>
        <v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v>
      </c>
      <c r="D167" s="107"/>
      <c r="E167" s="318"/>
      <c r="F167" s="311" t="s">
        <v>1359</v>
      </c>
      <c r="G167" s="319" t="s">
        <v>1362</v>
      </c>
      <c r="H167" s="320" t="s">
        <v>1360</v>
      </c>
    </row>
    <row r="168" spans="1:8" ht="15" customHeight="1" x14ac:dyDescent="0.4">
      <c r="A168" s="133" t="s">
        <v>732</v>
      </c>
      <c r="B168" s="131">
        <f t="shared" si="5"/>
        <v>164</v>
      </c>
      <c r="C168" s="129" t="str">
        <f t="shared" si="4"/>
        <v>Couverture géographique du programme</v>
      </c>
      <c r="D168" s="107"/>
      <c r="E168" s="318"/>
      <c r="F168" s="311" t="s">
        <v>274</v>
      </c>
      <c r="G168" s="319" t="s">
        <v>746</v>
      </c>
      <c r="H168" s="320" t="s">
        <v>1021</v>
      </c>
    </row>
    <row r="169" spans="1:8" ht="15" customHeight="1" x14ac:dyDescent="0.4">
      <c r="A169" s="133" t="s">
        <v>738</v>
      </c>
      <c r="B169" s="131">
        <f t="shared" si="5"/>
        <v>165</v>
      </c>
      <c r="C169" s="129" t="str">
        <f t="shared" si="4"/>
        <v>Explication de l'orientation géographique. La liste complète des communes participantes doit être fournie à la demande en annexe.</v>
      </c>
      <c r="D169" s="107"/>
      <c r="E169" s="318"/>
      <c r="F169" s="311" t="s">
        <v>1706</v>
      </c>
      <c r="G169" s="319" t="s">
        <v>753</v>
      </c>
      <c r="H169" s="320" t="s">
        <v>1022</v>
      </c>
    </row>
    <row r="170" spans="1:8" ht="15" customHeight="1" x14ac:dyDescent="0.4">
      <c r="A170" s="133" t="s">
        <v>726</v>
      </c>
      <c r="B170" s="131">
        <f t="shared" si="5"/>
        <v>166</v>
      </c>
      <c r="C170" s="129" t="str">
        <f t="shared" si="4"/>
        <v>Durée du programme (en mois) comprise entre 12 et 36 mois</v>
      </c>
      <c r="D170" s="107"/>
      <c r="E170" s="318"/>
      <c r="F170" s="311" t="s">
        <v>1630</v>
      </c>
      <c r="G170" s="319" t="s">
        <v>1751</v>
      </c>
      <c r="H170" s="320" t="s">
        <v>1752</v>
      </c>
    </row>
    <row r="171" spans="1:8" ht="15" customHeight="1" x14ac:dyDescent="0.4">
      <c r="A171" s="133" t="s">
        <v>728</v>
      </c>
      <c r="B171" s="131">
        <f t="shared" si="5"/>
        <v>167</v>
      </c>
      <c r="C171" s="129" t="str">
        <f t="shared" si="4"/>
        <v xml:space="preserve">Indications des dates possibles pour le début (&gt; 01.10.2019) et la fin  (&lt; 31.03.2023) du programme </v>
      </c>
      <c r="D171" s="107"/>
      <c r="E171" s="318"/>
      <c r="F171" s="311" t="s">
        <v>1922</v>
      </c>
      <c r="G171" s="319" t="s">
        <v>1923</v>
      </c>
      <c r="H171" s="320" t="s">
        <v>1924</v>
      </c>
    </row>
    <row r="172" spans="1:8" ht="15" customHeight="1" x14ac:dyDescent="0.4">
      <c r="A172" s="133" t="s">
        <v>727</v>
      </c>
      <c r="B172" s="131">
        <f t="shared" si="5"/>
        <v>168</v>
      </c>
      <c r="C172" s="129" t="str">
        <f t="shared" si="4"/>
        <v>Remarques concernant la date de début la plus tôt possible et le calendrier de réalisation</v>
      </c>
      <c r="D172" s="107"/>
      <c r="E172" s="318"/>
      <c r="F172" s="311" t="s">
        <v>1320</v>
      </c>
      <c r="G172" s="319" t="s">
        <v>829</v>
      </c>
      <c r="H172" s="320" t="s">
        <v>1321</v>
      </c>
    </row>
    <row r="173" spans="1:8" ht="15" customHeight="1" x14ac:dyDescent="0.4">
      <c r="A173" s="133" t="s">
        <v>851</v>
      </c>
      <c r="B173" s="131">
        <f t="shared" si="5"/>
        <v>169</v>
      </c>
      <c r="C173" s="129" t="str">
        <f t="shared" si="4"/>
        <v>Statut</v>
      </c>
      <c r="D173" s="107"/>
      <c r="E173" s="318"/>
      <c r="F173" s="311" t="s">
        <v>170</v>
      </c>
      <c r="G173" s="319" t="s">
        <v>552</v>
      </c>
      <c r="H173" s="320" t="s">
        <v>906</v>
      </c>
    </row>
    <row r="174" spans="1:8" ht="15" customHeight="1" x14ac:dyDescent="0.4">
      <c r="A174" s="133"/>
      <c r="B174" s="131">
        <f t="shared" si="5"/>
        <v>170</v>
      </c>
      <c r="C174" s="129" t="str">
        <f t="shared" si="4"/>
        <v>Exemple</v>
      </c>
      <c r="D174" s="107"/>
      <c r="E174" s="318"/>
      <c r="F174" s="312" t="s">
        <v>1355</v>
      </c>
      <c r="G174" s="322" t="s">
        <v>1356</v>
      </c>
      <c r="H174" s="323" t="s">
        <v>1357</v>
      </c>
    </row>
    <row r="175" spans="1:8" ht="15" customHeight="1" x14ac:dyDescent="0.4">
      <c r="A175" s="133"/>
      <c r="B175" s="131">
        <f t="shared" si="5"/>
        <v>171</v>
      </c>
      <c r="C175" s="129" t="str">
        <f t="shared" si="4"/>
        <v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v>
      </c>
      <c r="D175" s="107"/>
      <c r="E175" s="318"/>
      <c r="F175" s="311" t="s">
        <v>1370</v>
      </c>
      <c r="G175" s="324" t="s">
        <v>1358</v>
      </c>
      <c r="H175" s="320" t="s">
        <v>1371</v>
      </c>
    </row>
    <row r="176" spans="1:8" ht="15" customHeight="1" x14ac:dyDescent="0.4">
      <c r="A176" s="130" t="s">
        <v>26</v>
      </c>
      <c r="B176" s="131">
        <f t="shared" si="5"/>
        <v>172</v>
      </c>
      <c r="C176" s="129">
        <f t="shared" si="4"/>
        <v>0</v>
      </c>
      <c r="D176" s="107"/>
      <c r="E176" s="318"/>
      <c r="F176" s="311"/>
      <c r="G176" s="319"/>
      <c r="H176" s="320"/>
    </row>
    <row r="177" spans="1:8" ht="15" customHeight="1" x14ac:dyDescent="0.4">
      <c r="A177" s="133" t="s">
        <v>637</v>
      </c>
      <c r="B177" s="131">
        <f t="shared" si="5"/>
        <v>173</v>
      </c>
      <c r="C177" s="129" t="str">
        <f t="shared" si="4"/>
        <v>Nom de l'organisation</v>
      </c>
      <c r="D177" s="107"/>
      <c r="E177" s="318"/>
      <c r="F177" s="311" t="s">
        <v>275</v>
      </c>
      <c r="G177" s="319" t="s">
        <v>803</v>
      </c>
      <c r="H177" s="320" t="s">
        <v>1023</v>
      </c>
    </row>
    <row r="178" spans="1:8" ht="15" customHeight="1" x14ac:dyDescent="0.4">
      <c r="A178" s="133" t="s">
        <v>706</v>
      </c>
      <c r="B178" s="131">
        <f t="shared" si="5"/>
        <v>174</v>
      </c>
      <c r="C178" s="129" t="str">
        <f t="shared" si="4"/>
        <v>Forme juridique</v>
      </c>
      <c r="D178" s="107"/>
      <c r="E178" s="318"/>
      <c r="F178" s="311" t="s">
        <v>276</v>
      </c>
      <c r="G178" s="319" t="s">
        <v>553</v>
      </c>
      <c r="H178" s="320" t="s">
        <v>1024</v>
      </c>
    </row>
    <row r="179" spans="1:8" ht="15" customHeight="1" x14ac:dyDescent="0.4">
      <c r="A179" s="133" t="s">
        <v>707</v>
      </c>
      <c r="B179" s="131">
        <f t="shared" si="5"/>
        <v>175</v>
      </c>
      <c r="C179" s="129" t="str">
        <f t="shared" si="4"/>
        <v>Précisions sur la forme juridique</v>
      </c>
      <c r="D179" s="107"/>
      <c r="E179" s="318"/>
      <c r="F179" s="311" t="s">
        <v>277</v>
      </c>
      <c r="G179" s="319" t="s">
        <v>610</v>
      </c>
      <c r="H179" s="320" t="s">
        <v>1025</v>
      </c>
    </row>
    <row r="180" spans="1:8" ht="15" customHeight="1" x14ac:dyDescent="0.4">
      <c r="A180" s="133" t="s">
        <v>708</v>
      </c>
      <c r="B180" s="131">
        <f t="shared" si="5"/>
        <v>176</v>
      </c>
      <c r="C180" s="129" t="str">
        <f t="shared" si="4"/>
        <v>Adresse</v>
      </c>
      <c r="D180" s="107"/>
      <c r="E180" s="318"/>
      <c r="F180" s="311" t="s">
        <v>558</v>
      </c>
      <c r="G180" s="319" t="s">
        <v>558</v>
      </c>
      <c r="H180" s="320" t="s">
        <v>1026</v>
      </c>
    </row>
    <row r="181" spans="1:8" ht="15" customHeight="1" x14ac:dyDescent="0.4">
      <c r="A181" s="133" t="s">
        <v>709</v>
      </c>
      <c r="B181" s="131">
        <f t="shared" si="5"/>
        <v>177</v>
      </c>
      <c r="C181" s="129" t="str">
        <f t="shared" si="4"/>
        <v>NPA</v>
      </c>
      <c r="D181" s="107"/>
      <c r="E181" s="318"/>
      <c r="F181" s="311" t="s">
        <v>278</v>
      </c>
      <c r="G181" s="319" t="s">
        <v>559</v>
      </c>
      <c r="H181" s="320" t="s">
        <v>278</v>
      </c>
    </row>
    <row r="182" spans="1:8" ht="15" customHeight="1" x14ac:dyDescent="0.4">
      <c r="A182" s="133" t="s">
        <v>711</v>
      </c>
      <c r="B182" s="131">
        <f t="shared" si="5"/>
        <v>178</v>
      </c>
      <c r="C182" s="129" t="str">
        <f t="shared" si="4"/>
        <v>Site Internet</v>
      </c>
      <c r="D182" s="107"/>
      <c r="E182" s="318"/>
      <c r="F182" s="311" t="s">
        <v>279</v>
      </c>
      <c r="G182" s="319" t="s">
        <v>801</v>
      </c>
      <c r="H182" s="320" t="s">
        <v>1027</v>
      </c>
    </row>
    <row r="183" spans="1:8" ht="15" customHeight="1" x14ac:dyDescent="0.4">
      <c r="A183" s="133" t="s">
        <v>721</v>
      </c>
      <c r="B183" s="131">
        <f t="shared" si="5"/>
        <v>179</v>
      </c>
      <c r="C183" s="129" t="str">
        <f t="shared" si="4"/>
        <v>Brève description des activités de l'organisme porteur du programme</v>
      </c>
      <c r="D183" s="107"/>
      <c r="E183" s="318"/>
      <c r="F183" s="311" t="s">
        <v>280</v>
      </c>
      <c r="G183" s="319" t="s">
        <v>800</v>
      </c>
      <c r="H183" s="320" t="s">
        <v>1028</v>
      </c>
    </row>
    <row r="184" spans="1:8" ht="15" customHeight="1" x14ac:dyDescent="0.4">
      <c r="A184" s="133" t="s">
        <v>713</v>
      </c>
      <c r="B184" s="131">
        <f t="shared" si="5"/>
        <v>180</v>
      </c>
      <c r="C184" s="129" t="str">
        <f t="shared" si="4"/>
        <v>Personne de contact pour les appels d'offres publics</v>
      </c>
      <c r="D184" s="107"/>
      <c r="E184" s="318"/>
      <c r="F184" s="311" t="s">
        <v>281</v>
      </c>
      <c r="G184" s="319" t="s">
        <v>21</v>
      </c>
      <c r="H184" s="320" t="s">
        <v>1029</v>
      </c>
    </row>
    <row r="185" spans="1:8" ht="15" customHeight="1" x14ac:dyDescent="0.4">
      <c r="A185" s="133" t="s">
        <v>715</v>
      </c>
      <c r="B185" s="131">
        <f t="shared" si="5"/>
        <v>181</v>
      </c>
      <c r="C185" s="129" t="str">
        <f t="shared" si="4"/>
        <v>Organisation</v>
      </c>
      <c r="D185" s="107"/>
      <c r="E185" s="318"/>
      <c r="F185" s="311" t="s">
        <v>857</v>
      </c>
      <c r="G185" s="319" t="s">
        <v>857</v>
      </c>
      <c r="H185" s="320" t="s">
        <v>1030</v>
      </c>
    </row>
    <row r="186" spans="1:8" ht="15" customHeight="1" x14ac:dyDescent="0.4">
      <c r="A186" s="133" t="s">
        <v>716</v>
      </c>
      <c r="B186" s="131">
        <f t="shared" si="5"/>
        <v>182</v>
      </c>
      <c r="C186" s="129" t="str">
        <f t="shared" si="4"/>
        <v>Nom</v>
      </c>
      <c r="D186" s="107"/>
      <c r="E186" s="318"/>
      <c r="F186" s="311" t="s">
        <v>282</v>
      </c>
      <c r="G186" s="319" t="s">
        <v>561</v>
      </c>
      <c r="H186" s="320" t="s">
        <v>1031</v>
      </c>
    </row>
    <row r="187" spans="1:8" ht="15" customHeight="1" x14ac:dyDescent="0.4">
      <c r="A187" s="133" t="s">
        <v>718</v>
      </c>
      <c r="B187" s="131">
        <f t="shared" si="5"/>
        <v>183</v>
      </c>
      <c r="C187" s="129" t="str">
        <f t="shared" si="4"/>
        <v>Fonction</v>
      </c>
      <c r="D187" s="107"/>
      <c r="E187" s="318"/>
      <c r="F187" s="311" t="s">
        <v>283</v>
      </c>
      <c r="G187" s="319" t="s">
        <v>563</v>
      </c>
      <c r="H187" s="320" t="s">
        <v>1032</v>
      </c>
    </row>
    <row r="188" spans="1:8" ht="15" customHeight="1" x14ac:dyDescent="0.4">
      <c r="A188" s="133" t="s">
        <v>701</v>
      </c>
      <c r="B188" s="131">
        <f t="shared" si="5"/>
        <v>184</v>
      </c>
      <c r="C188" s="129" t="str">
        <f t="shared" si="4"/>
        <v>Téléphone</v>
      </c>
      <c r="D188" s="107"/>
      <c r="E188" s="318"/>
      <c r="F188" s="311" t="s">
        <v>284</v>
      </c>
      <c r="G188" s="319" t="s">
        <v>564</v>
      </c>
      <c r="H188" s="320" t="s">
        <v>1033</v>
      </c>
    </row>
    <row r="189" spans="1:8" ht="15" customHeight="1" x14ac:dyDescent="0.4">
      <c r="A189" s="133" t="s">
        <v>719</v>
      </c>
      <c r="B189" s="131">
        <f t="shared" si="5"/>
        <v>185</v>
      </c>
      <c r="C189" s="129" t="str">
        <f t="shared" si="4"/>
        <v>E-mail</v>
      </c>
      <c r="D189" s="107"/>
      <c r="E189" s="318"/>
      <c r="F189" s="311" t="s">
        <v>161</v>
      </c>
      <c r="G189" s="319" t="s">
        <v>161</v>
      </c>
      <c r="H189" s="320" t="s">
        <v>161</v>
      </c>
    </row>
    <row r="190" spans="1:8" ht="15" customHeight="1" x14ac:dyDescent="0.4">
      <c r="A190" s="133" t="s">
        <v>703</v>
      </c>
      <c r="B190" s="131">
        <f t="shared" si="5"/>
        <v>186</v>
      </c>
      <c r="C190" s="129" t="str">
        <f t="shared" si="4"/>
        <v>Autres organisations porteuses du programme</v>
      </c>
      <c r="D190" s="107"/>
      <c r="E190" s="318"/>
      <c r="F190" s="311" t="s">
        <v>285</v>
      </c>
      <c r="G190" s="319" t="s">
        <v>20</v>
      </c>
      <c r="H190" s="320" t="s">
        <v>1034</v>
      </c>
    </row>
    <row r="191" spans="1:8" ht="15" customHeight="1" x14ac:dyDescent="0.4">
      <c r="A191" s="133" t="s">
        <v>652</v>
      </c>
      <c r="B191" s="131">
        <f t="shared" si="5"/>
        <v>187</v>
      </c>
      <c r="C191" s="129" t="str">
        <f t="shared" si="4"/>
        <v>Organisation 2</v>
      </c>
      <c r="D191" s="107"/>
      <c r="E191" s="318"/>
      <c r="F191" s="311" t="s">
        <v>17</v>
      </c>
      <c r="G191" s="319" t="s">
        <v>17</v>
      </c>
      <c r="H191" s="320" t="s">
        <v>1035</v>
      </c>
    </row>
    <row r="192" spans="1:8" ht="15" customHeight="1" x14ac:dyDescent="0.4">
      <c r="A192" s="133" t="s">
        <v>720</v>
      </c>
      <c r="B192" s="131">
        <f t="shared" si="5"/>
        <v>188</v>
      </c>
      <c r="C192" s="129" t="str">
        <f t="shared" si="4"/>
        <v>Organisation 3</v>
      </c>
      <c r="D192" s="107"/>
      <c r="E192" s="318"/>
      <c r="F192" s="311" t="s">
        <v>18</v>
      </c>
      <c r="G192" s="319" t="s">
        <v>18</v>
      </c>
      <c r="H192" s="320" t="s">
        <v>1036</v>
      </c>
    </row>
    <row r="193" spans="1:8" ht="15" customHeight="1" x14ac:dyDescent="0.4">
      <c r="A193" s="133" t="s">
        <v>704</v>
      </c>
      <c r="B193" s="131">
        <f t="shared" si="5"/>
        <v>189</v>
      </c>
      <c r="C193" s="129" t="str">
        <f t="shared" si="4"/>
        <v>Organisation 4</v>
      </c>
      <c r="D193" s="107"/>
      <c r="E193" s="318"/>
      <c r="F193" s="311" t="s">
        <v>19</v>
      </c>
      <c r="G193" s="319" t="s">
        <v>19</v>
      </c>
      <c r="H193" s="320" t="s">
        <v>1037</v>
      </c>
    </row>
    <row r="194" spans="1:8" ht="15" customHeight="1" x14ac:dyDescent="0.4">
      <c r="A194" s="133" t="s">
        <v>717</v>
      </c>
      <c r="B194" s="131">
        <f t="shared" si="5"/>
        <v>190</v>
      </c>
      <c r="C194" s="129" t="str">
        <f t="shared" si="4"/>
        <v>Prénom</v>
      </c>
      <c r="D194" s="107"/>
      <c r="E194" s="318"/>
      <c r="F194" s="311" t="s">
        <v>286</v>
      </c>
      <c r="G194" s="319" t="s">
        <v>562</v>
      </c>
      <c r="H194" s="320" t="s">
        <v>1038</v>
      </c>
    </row>
    <row r="195" spans="1:8" ht="15" customHeight="1" x14ac:dyDescent="0.4">
      <c r="A195" s="133" t="s">
        <v>855</v>
      </c>
      <c r="B195" s="131">
        <f t="shared" si="5"/>
        <v>191</v>
      </c>
      <c r="C195" s="129" t="str">
        <f t="shared" si="4"/>
        <v>Téléphone mobile</v>
      </c>
      <c r="D195" s="107"/>
      <c r="E195" s="318"/>
      <c r="F195" s="311" t="s">
        <v>287</v>
      </c>
      <c r="G195" s="319" t="s">
        <v>854</v>
      </c>
      <c r="H195" s="320" t="s">
        <v>1039</v>
      </c>
    </row>
    <row r="196" spans="1:8" ht="15" customHeight="1" x14ac:dyDescent="0.4">
      <c r="A196" s="133" t="s">
        <v>710</v>
      </c>
      <c r="B196" s="131">
        <f t="shared" si="5"/>
        <v>192</v>
      </c>
      <c r="C196" s="129" t="str">
        <f t="shared" si="4"/>
        <v>Lieu</v>
      </c>
      <c r="D196" s="107"/>
      <c r="E196" s="318"/>
      <c r="F196" s="311" t="s">
        <v>288</v>
      </c>
      <c r="G196" s="319" t="s">
        <v>560</v>
      </c>
      <c r="H196" s="320" t="s">
        <v>1040</v>
      </c>
    </row>
    <row r="197" spans="1:8" ht="15" customHeight="1" x14ac:dyDescent="0.4">
      <c r="A197" s="133" t="s">
        <v>743</v>
      </c>
      <c r="B197" s="131">
        <f t="shared" si="5"/>
        <v>193</v>
      </c>
      <c r="C197" s="129" t="str">
        <f t="shared" ref="C197:C260" si="6">IF($B$1="f",F197,IF($B$1="d",G197,H197))</f>
        <v>Les organisations individuelles de l'organisme porteur doivent êtres décrites en détail dans le concept du programme.</v>
      </c>
      <c r="D197" s="107"/>
      <c r="E197" s="318"/>
      <c r="F197" s="311" t="s">
        <v>1450</v>
      </c>
      <c r="G197" s="319" t="s">
        <v>1448</v>
      </c>
      <c r="H197" s="320" t="s">
        <v>1449</v>
      </c>
    </row>
    <row r="198" spans="1:8" ht="15" customHeight="1" x14ac:dyDescent="0.4">
      <c r="A198" s="133" t="s">
        <v>729</v>
      </c>
      <c r="B198" s="131">
        <f t="shared" ref="B198:B261" si="7">B197+1</f>
        <v>194</v>
      </c>
      <c r="C198" s="129" t="str">
        <f t="shared" si="6"/>
        <v>Nom de l'organisation porteuse</v>
      </c>
      <c r="D198" s="107"/>
      <c r="E198" s="318"/>
      <c r="F198" s="311" t="s">
        <v>1329</v>
      </c>
      <c r="G198" s="319" t="s">
        <v>804</v>
      </c>
      <c r="H198" s="320" t="s">
        <v>1041</v>
      </c>
    </row>
    <row r="199" spans="1:8" ht="15" customHeight="1" x14ac:dyDescent="0.4">
      <c r="A199" s="133" t="s">
        <v>723</v>
      </c>
      <c r="B199" s="131">
        <f t="shared" si="7"/>
        <v>195</v>
      </c>
      <c r="C199" s="129" t="str">
        <f t="shared" si="6"/>
        <v>Explications ou précisions sur la forme juridique lorsque celle-ci est une personne privée, une collectivité de droit public ou autre</v>
      </c>
      <c r="D199" s="107"/>
      <c r="E199" s="318"/>
      <c r="F199" s="311" t="s">
        <v>289</v>
      </c>
      <c r="G199" s="319" t="s">
        <v>162</v>
      </c>
      <c r="H199" s="320" t="s">
        <v>1042</v>
      </c>
    </row>
    <row r="200" spans="1:8" ht="15" customHeight="1" x14ac:dyDescent="0.4">
      <c r="A200" s="133" t="s">
        <v>724</v>
      </c>
      <c r="B200" s="131">
        <f t="shared" si="7"/>
        <v>196</v>
      </c>
      <c r="C200" s="129" t="str">
        <f t="shared" si="6"/>
        <v>Rue ; adresse</v>
      </c>
      <c r="D200" s="107"/>
      <c r="E200" s="318"/>
      <c r="F200" s="311" t="s">
        <v>290</v>
      </c>
      <c r="G200" s="319" t="s">
        <v>856</v>
      </c>
      <c r="H200" s="320" t="s">
        <v>1043</v>
      </c>
    </row>
    <row r="201" spans="1:8" ht="15" customHeight="1" x14ac:dyDescent="0.4">
      <c r="A201" s="133" t="s">
        <v>725</v>
      </c>
      <c r="B201" s="131">
        <f t="shared" si="7"/>
        <v>197</v>
      </c>
      <c r="C201" s="129" t="str">
        <f t="shared" si="6"/>
        <v>NPA et lieu</v>
      </c>
      <c r="D201" s="107"/>
      <c r="E201" s="318"/>
      <c r="F201" s="311" t="s">
        <v>291</v>
      </c>
      <c r="G201" s="319" t="s">
        <v>598</v>
      </c>
      <c r="H201" s="320" t="s">
        <v>1044</v>
      </c>
    </row>
    <row r="202" spans="1:8" ht="15" customHeight="1" x14ac:dyDescent="0.4">
      <c r="A202" s="133" t="s">
        <v>738</v>
      </c>
      <c r="B202" s="131">
        <f t="shared" si="7"/>
        <v>198</v>
      </c>
      <c r="C202" s="129" t="str">
        <f t="shared" si="6"/>
        <v>Description de l'activité, du nombre d'employés et de l'expérience</v>
      </c>
      <c r="D202" s="107"/>
      <c r="E202" s="318"/>
      <c r="F202" s="311" t="s">
        <v>292</v>
      </c>
      <c r="G202" s="319" t="s">
        <v>758</v>
      </c>
      <c r="H202" s="320" t="s">
        <v>1045</v>
      </c>
    </row>
    <row r="203" spans="1:8" ht="15" customHeight="1" x14ac:dyDescent="0.4">
      <c r="A203" s="133" t="s">
        <v>727</v>
      </c>
      <c r="B203" s="131">
        <f t="shared" si="7"/>
        <v>199</v>
      </c>
      <c r="C203" s="129" t="str">
        <f t="shared" si="6"/>
        <v>Nom de l'organisation de la personne de contact</v>
      </c>
      <c r="D203" s="107"/>
      <c r="E203" s="318"/>
      <c r="F203" s="311" t="s">
        <v>293</v>
      </c>
      <c r="G203" s="319" t="s">
        <v>805</v>
      </c>
      <c r="H203" s="320" t="s">
        <v>1046</v>
      </c>
    </row>
    <row r="204" spans="1:8" ht="15" customHeight="1" x14ac:dyDescent="0.4">
      <c r="A204" s="133" t="s">
        <v>737</v>
      </c>
      <c r="B204" s="131">
        <f t="shared" si="7"/>
        <v>200</v>
      </c>
      <c r="C204" s="129" t="str">
        <f t="shared" si="6"/>
        <v>Indiquer les numéros de téléphone sous la forme « 044 245 65 43 »</v>
      </c>
      <c r="D204" s="107"/>
      <c r="E204" s="318"/>
      <c r="F204" s="311" t="s">
        <v>294</v>
      </c>
      <c r="G204" s="319" t="s">
        <v>830</v>
      </c>
      <c r="H204" s="320" t="s">
        <v>1047</v>
      </c>
    </row>
    <row r="205" spans="1:8" ht="15" customHeight="1" x14ac:dyDescent="0.4">
      <c r="A205" s="133" t="s">
        <v>733</v>
      </c>
      <c r="B205" s="131">
        <f t="shared" si="7"/>
        <v>201</v>
      </c>
      <c r="C205" s="129" t="str">
        <f t="shared" si="6"/>
        <v>Pour saisir les descriptions détaillées des autres partenaires porteurs du programme, veuillez utiliser les formulaires P1-P3. Cliquez sur le lien Partenaire x.</v>
      </c>
      <c r="D205" s="107"/>
      <c r="E205" s="318"/>
      <c r="F205" s="311" t="s">
        <v>518</v>
      </c>
      <c r="G205" s="319" t="s">
        <v>133</v>
      </c>
      <c r="H205" s="320" t="s">
        <v>1048</v>
      </c>
    </row>
    <row r="206" spans="1:8" ht="15" customHeight="1" x14ac:dyDescent="0.4">
      <c r="A206" s="133" t="s">
        <v>735</v>
      </c>
      <c r="B206" s="131">
        <f t="shared" si="7"/>
        <v>202</v>
      </c>
      <c r="C206" s="129" t="str">
        <f t="shared" si="6"/>
        <v>Nom de l'organisation 2 de l'organisme porteur</v>
      </c>
      <c r="D206" s="107"/>
      <c r="E206" s="318"/>
      <c r="F206" s="311" t="s">
        <v>295</v>
      </c>
      <c r="G206" s="319" t="s">
        <v>22</v>
      </c>
      <c r="H206" s="320" t="s">
        <v>1049</v>
      </c>
    </row>
    <row r="207" spans="1:8" ht="15" customHeight="1" x14ac:dyDescent="0.4">
      <c r="A207" s="133" t="s">
        <v>736</v>
      </c>
      <c r="B207" s="131">
        <f t="shared" si="7"/>
        <v>203</v>
      </c>
      <c r="C207" s="129" t="str">
        <f t="shared" si="6"/>
        <v>Nom de l'organisation 3 de l'organisme porteur</v>
      </c>
      <c r="D207" s="107"/>
      <c r="E207" s="318"/>
      <c r="F207" s="311" t="s">
        <v>296</v>
      </c>
      <c r="G207" s="319" t="s">
        <v>23</v>
      </c>
      <c r="H207" s="320" t="s">
        <v>1050</v>
      </c>
    </row>
    <row r="208" spans="1:8" ht="15" customHeight="1" x14ac:dyDescent="0.4">
      <c r="A208" s="133" t="s">
        <v>734</v>
      </c>
      <c r="B208" s="131">
        <f t="shared" si="7"/>
        <v>204</v>
      </c>
      <c r="C208" s="129" t="str">
        <f t="shared" si="6"/>
        <v>Nom de l'organisation 4 de l'organisme porteur</v>
      </c>
      <c r="D208" s="107"/>
      <c r="E208" s="318"/>
      <c r="F208" s="311" t="s">
        <v>297</v>
      </c>
      <c r="G208" s="319" t="s">
        <v>24</v>
      </c>
      <c r="H208" s="320" t="s">
        <v>1051</v>
      </c>
    </row>
    <row r="209" spans="1:8" ht="15" customHeight="1" x14ac:dyDescent="0.4">
      <c r="A209" s="133" t="s">
        <v>704</v>
      </c>
      <c r="B209" s="131">
        <f t="shared" si="7"/>
        <v>205</v>
      </c>
      <c r="C209" s="129" t="str">
        <f t="shared" si="6"/>
        <v>Structure de l'organisation</v>
      </c>
      <c r="D209" s="107"/>
      <c r="E209" s="318"/>
      <c r="F209" s="311" t="s">
        <v>298</v>
      </c>
      <c r="G209" s="319" t="s">
        <v>25</v>
      </c>
      <c r="H209" s="320" t="s">
        <v>1052</v>
      </c>
    </row>
    <row r="210" spans="1:8" ht="15" customHeight="1" x14ac:dyDescent="0.4">
      <c r="A210" s="133" t="s">
        <v>706</v>
      </c>
      <c r="B210" s="131">
        <f t="shared" si="7"/>
        <v>206</v>
      </c>
      <c r="C210" s="129" t="str">
        <f t="shared" si="6"/>
        <v>Rôle et fonction dans le programme</v>
      </c>
      <c r="D210" s="107"/>
      <c r="E210" s="318"/>
      <c r="F210" s="311" t="s">
        <v>299</v>
      </c>
      <c r="G210" s="319" t="s">
        <v>756</v>
      </c>
      <c r="H210" s="320" t="s">
        <v>1053</v>
      </c>
    </row>
    <row r="211" spans="1:8" ht="15" customHeight="1" x14ac:dyDescent="0.4">
      <c r="A211" s="133" t="s">
        <v>722</v>
      </c>
      <c r="B211" s="131">
        <f t="shared" si="7"/>
        <v>207</v>
      </c>
      <c r="C211" s="129" t="str">
        <f t="shared" si="6"/>
        <v>Description du rôle et de la fonction de l'organisation dans le programme</v>
      </c>
      <c r="D211" s="107"/>
      <c r="E211" s="318"/>
      <c r="F211" s="311" t="s">
        <v>300</v>
      </c>
      <c r="G211" s="319" t="s">
        <v>757</v>
      </c>
      <c r="H211" s="320" t="s">
        <v>1054</v>
      </c>
    </row>
    <row r="212" spans="1:8" ht="15" customHeight="1" x14ac:dyDescent="0.4">
      <c r="A212" s="133"/>
      <c r="B212" s="131">
        <f t="shared" si="7"/>
        <v>208</v>
      </c>
      <c r="C212" s="129" t="str">
        <f t="shared" si="6"/>
        <v>Comment sont structurées l'organisation et la collaboration entre les organisations impliquées ?</v>
      </c>
      <c r="D212" s="107"/>
      <c r="E212" s="318"/>
      <c r="F212" s="311" t="s">
        <v>301</v>
      </c>
      <c r="G212" s="319" t="s">
        <v>163</v>
      </c>
      <c r="H212" s="320" t="s">
        <v>1055</v>
      </c>
    </row>
    <row r="213" spans="1:8" ht="15" customHeight="1" x14ac:dyDescent="0.4">
      <c r="A213" s="133"/>
      <c r="B213" s="131">
        <f t="shared" si="7"/>
        <v>209</v>
      </c>
      <c r="C213" s="129" t="str">
        <f t="shared" si="6"/>
        <v>Quelle(s) organisation(s) porte(nt) le programme ? Si plusieurs organisations sont impliquées : qui assume la responsabilité ? Quels sont les rôles et fonctions (y compris les compétences) des diverses organisations ? Comment est structurée la collaboration entre ces organisations ?
Annexe Organisation (organigramme, responsabilités)</v>
      </c>
      <c r="D213" s="107"/>
      <c r="E213" s="318"/>
      <c r="F213" s="311" t="s">
        <v>302</v>
      </c>
      <c r="G213" s="319" t="s">
        <v>134</v>
      </c>
      <c r="H213" s="320" t="s">
        <v>1056</v>
      </c>
    </row>
    <row r="214" spans="1:8" ht="15" customHeight="1" x14ac:dyDescent="0.4">
      <c r="A214" s="133"/>
      <c r="B214" s="131">
        <f t="shared" si="7"/>
        <v>210</v>
      </c>
      <c r="C214" s="129" t="str">
        <f t="shared" si="6"/>
        <v>Compétence pour cette tâche</v>
      </c>
      <c r="D214" s="107"/>
      <c r="E214" s="318"/>
      <c r="F214" s="311" t="s">
        <v>303</v>
      </c>
      <c r="G214" s="319" t="s">
        <v>759</v>
      </c>
      <c r="H214" s="320" t="s">
        <v>1057</v>
      </c>
    </row>
    <row r="215" spans="1:8" ht="15" customHeight="1" x14ac:dyDescent="0.4">
      <c r="A215" s="133"/>
      <c r="B215" s="131">
        <f t="shared" si="7"/>
        <v>211</v>
      </c>
      <c r="C215" s="129" t="str">
        <f t="shared" si="6"/>
        <v>Description de la compétence disponible pour cette tâche</v>
      </c>
      <c r="D215" s="107"/>
      <c r="E215" s="318"/>
      <c r="F215" s="311" t="s">
        <v>304</v>
      </c>
      <c r="G215" s="319" t="s">
        <v>760</v>
      </c>
      <c r="H215" s="320" t="s">
        <v>1058</v>
      </c>
    </row>
    <row r="216" spans="1:8" ht="15" customHeight="1" x14ac:dyDescent="0.4">
      <c r="A216" s="133"/>
      <c r="B216" s="131">
        <f t="shared" si="7"/>
        <v>212</v>
      </c>
      <c r="C216" s="129" t="str">
        <f t="shared" si="6"/>
        <v>Références</v>
      </c>
      <c r="D216" s="107"/>
      <c r="E216" s="318"/>
      <c r="F216" s="311" t="s">
        <v>305</v>
      </c>
      <c r="G216" s="319" t="s">
        <v>761</v>
      </c>
      <c r="H216" s="320" t="s">
        <v>1059</v>
      </c>
    </row>
    <row r="217" spans="1:8" ht="15" customHeight="1" x14ac:dyDescent="0.4">
      <c r="A217" s="133"/>
      <c r="B217" s="131">
        <f t="shared" si="7"/>
        <v>213</v>
      </c>
      <c r="C217" s="129" t="str">
        <f t="shared" si="6"/>
        <v>Indication de projets de référence comparables</v>
      </c>
      <c r="D217" s="107"/>
      <c r="E217" s="318"/>
      <c r="F217" s="311" t="s">
        <v>306</v>
      </c>
      <c r="G217" s="319" t="s">
        <v>762</v>
      </c>
      <c r="H217" s="320" t="s">
        <v>1060</v>
      </c>
    </row>
    <row r="218" spans="1:8" ht="15" customHeight="1" x14ac:dyDescent="0.4">
      <c r="A218" s="133"/>
      <c r="B218" s="131">
        <f t="shared" si="7"/>
        <v>214</v>
      </c>
      <c r="C218" s="129" t="str">
        <f t="shared" si="6"/>
        <v>Ressources en personnel</v>
      </c>
      <c r="D218" s="107"/>
      <c r="E218" s="318"/>
      <c r="F218" s="311" t="s">
        <v>307</v>
      </c>
      <c r="G218" s="319" t="s">
        <v>27</v>
      </c>
      <c r="H218" s="320" t="s">
        <v>1061</v>
      </c>
    </row>
    <row r="219" spans="1:8" ht="15" customHeight="1" x14ac:dyDescent="0.4">
      <c r="A219" s="133"/>
      <c r="B219" s="131">
        <f t="shared" si="7"/>
        <v>215</v>
      </c>
      <c r="C219" s="129" t="str">
        <f t="shared" si="6"/>
        <v>Joindre le CV des personnes clés en annexe</v>
      </c>
      <c r="D219" s="107"/>
      <c r="E219" s="318"/>
      <c r="F219" s="311" t="s">
        <v>308</v>
      </c>
      <c r="G219" s="319" t="s">
        <v>16</v>
      </c>
      <c r="H219" s="320" t="s">
        <v>1062</v>
      </c>
    </row>
    <row r="220" spans="1:8" ht="15" customHeight="1" x14ac:dyDescent="0.4">
      <c r="A220" s="133"/>
      <c r="B220" s="131">
        <f t="shared" si="7"/>
        <v>216</v>
      </c>
      <c r="C220" s="129" t="str">
        <f t="shared" si="6"/>
        <v>Personne 1 (chef de projet et personne de contact)</v>
      </c>
      <c r="D220" s="107"/>
      <c r="E220" s="318"/>
      <c r="F220" s="311" t="s">
        <v>309</v>
      </c>
      <c r="G220" s="319" t="s">
        <v>28</v>
      </c>
      <c r="H220" s="320" t="s">
        <v>1063</v>
      </c>
    </row>
    <row r="221" spans="1:8" ht="15" customHeight="1" x14ac:dyDescent="0.4">
      <c r="A221" s="133"/>
      <c r="B221" s="131">
        <f t="shared" si="7"/>
        <v>217</v>
      </c>
      <c r="C221" s="129" t="str">
        <f t="shared" si="6"/>
        <v>Personne 2</v>
      </c>
      <c r="D221" s="107"/>
      <c r="E221" s="318"/>
      <c r="F221" s="311" t="s">
        <v>310</v>
      </c>
      <c r="G221" s="319" t="s">
        <v>765</v>
      </c>
      <c r="H221" s="320" t="s">
        <v>1064</v>
      </c>
    </row>
    <row r="222" spans="1:8" ht="15" customHeight="1" x14ac:dyDescent="0.4">
      <c r="A222" s="133"/>
      <c r="B222" s="131">
        <f t="shared" si="7"/>
        <v>218</v>
      </c>
      <c r="C222" s="129" t="str">
        <f t="shared" si="6"/>
        <v>Personne 3</v>
      </c>
      <c r="D222" s="107"/>
      <c r="E222" s="318"/>
      <c r="F222" s="311" t="s">
        <v>311</v>
      </c>
      <c r="G222" s="319" t="s">
        <v>766</v>
      </c>
      <c r="H222" s="320" t="s">
        <v>1065</v>
      </c>
    </row>
    <row r="223" spans="1:8" ht="15" customHeight="1" x14ac:dyDescent="0.4">
      <c r="A223" s="133"/>
      <c r="B223" s="131">
        <f t="shared" si="7"/>
        <v>219</v>
      </c>
      <c r="C223" s="129" t="str">
        <f t="shared" si="6"/>
        <v>Personne 4</v>
      </c>
      <c r="D223" s="107"/>
      <c r="E223" s="318"/>
      <c r="F223" s="311" t="s">
        <v>312</v>
      </c>
      <c r="G223" s="319" t="s">
        <v>767</v>
      </c>
      <c r="H223" s="320" t="s">
        <v>1066</v>
      </c>
    </row>
    <row r="224" spans="1:8" ht="15" customHeight="1" x14ac:dyDescent="0.4">
      <c r="A224" s="133"/>
      <c r="B224" s="131">
        <f t="shared" si="7"/>
        <v>220</v>
      </c>
      <c r="C224" s="129" t="str">
        <f t="shared" si="6"/>
        <v>Rôle</v>
      </c>
      <c r="D224" s="107"/>
      <c r="E224" s="318"/>
      <c r="F224" s="311" t="s">
        <v>313</v>
      </c>
      <c r="G224" s="319" t="s">
        <v>764</v>
      </c>
      <c r="H224" s="320" t="s">
        <v>1067</v>
      </c>
    </row>
    <row r="225" spans="1:8" ht="15" customHeight="1" x14ac:dyDescent="0.4">
      <c r="A225" s="133"/>
      <c r="B225" s="131">
        <f t="shared" si="7"/>
        <v>221</v>
      </c>
      <c r="C225" s="129" t="str">
        <f t="shared" si="6"/>
        <v>Fonction dans l'entreprise</v>
      </c>
      <c r="D225" s="107"/>
      <c r="E225" s="318"/>
      <c r="F225" s="311" t="s">
        <v>314</v>
      </c>
      <c r="G225" s="319" t="s">
        <v>29</v>
      </c>
      <c r="H225" s="320" t="s">
        <v>1068</v>
      </c>
    </row>
    <row r="226" spans="1:8" ht="15" customHeight="1" x14ac:dyDescent="0.4">
      <c r="A226" s="133"/>
      <c r="B226" s="131">
        <f t="shared" si="7"/>
        <v>222</v>
      </c>
      <c r="C226" s="129" t="str">
        <f t="shared" si="6"/>
        <v>Rôle dans le projet</v>
      </c>
      <c r="D226" s="107"/>
      <c r="E226" s="318"/>
      <c r="F226" s="311" t="s">
        <v>315</v>
      </c>
      <c r="G226" s="319" t="s">
        <v>763</v>
      </c>
      <c r="H226" s="320" t="s">
        <v>1069</v>
      </c>
    </row>
    <row r="227" spans="1:8" ht="15" customHeight="1" x14ac:dyDescent="0.4">
      <c r="A227" s="133"/>
      <c r="B227" s="131">
        <f t="shared" si="7"/>
        <v>223</v>
      </c>
      <c r="C227" s="129">
        <f t="shared" si="6"/>
        <v>0</v>
      </c>
      <c r="D227" s="107"/>
      <c r="E227" s="318"/>
      <c r="F227" s="311"/>
      <c r="G227" s="319"/>
      <c r="H227" s="320"/>
    </row>
    <row r="228" spans="1:8" ht="15" customHeight="1" x14ac:dyDescent="0.4">
      <c r="A228" s="133"/>
      <c r="B228" s="131">
        <f t="shared" si="7"/>
        <v>224</v>
      </c>
      <c r="C228" s="129">
        <f t="shared" si="6"/>
        <v>0</v>
      </c>
      <c r="D228" s="107"/>
      <c r="E228" s="318"/>
      <c r="F228" s="311"/>
      <c r="G228" s="319"/>
      <c r="H228" s="320"/>
    </row>
    <row r="229" spans="1:8" ht="15" customHeight="1" x14ac:dyDescent="0.4">
      <c r="A229" s="130" t="s">
        <v>567</v>
      </c>
      <c r="B229" s="131">
        <f t="shared" si="7"/>
        <v>225</v>
      </c>
      <c r="C229" s="129">
        <f t="shared" si="6"/>
        <v>0</v>
      </c>
      <c r="D229" s="107"/>
      <c r="E229" s="318"/>
      <c r="F229" s="311"/>
      <c r="G229" s="319"/>
      <c r="H229" s="320"/>
    </row>
    <row r="230" spans="1:8" ht="15" customHeight="1" x14ac:dyDescent="0.4">
      <c r="A230" s="133" t="s">
        <v>705</v>
      </c>
      <c r="B230" s="131">
        <f t="shared" si="7"/>
        <v>226</v>
      </c>
      <c r="C230" s="129" t="str">
        <f t="shared" si="6"/>
        <v>Applications, acteurs du marché et investissements  engendrés</v>
      </c>
      <c r="D230" s="107"/>
      <c r="E230" s="318"/>
      <c r="F230" s="311" t="s">
        <v>1286</v>
      </c>
      <c r="G230" s="319" t="s">
        <v>1287</v>
      </c>
      <c r="H230" s="320" t="s">
        <v>1070</v>
      </c>
    </row>
    <row r="231" spans="1:8" ht="15" customHeight="1" x14ac:dyDescent="0.4">
      <c r="A231" s="133" t="s">
        <v>637</v>
      </c>
      <c r="B231" s="131">
        <f t="shared" si="7"/>
        <v>227</v>
      </c>
      <c r="C231" s="129" t="str">
        <f t="shared" si="6"/>
        <v>Sur quelle application souhaite-t-on agir ?</v>
      </c>
      <c r="D231" s="107"/>
      <c r="E231" s="318"/>
      <c r="F231" s="311" t="s">
        <v>316</v>
      </c>
      <c r="G231" s="319" t="s">
        <v>822</v>
      </c>
      <c r="H231" s="320" t="s">
        <v>1071</v>
      </c>
    </row>
    <row r="232" spans="1:8" ht="15" customHeight="1" x14ac:dyDescent="0.4">
      <c r="A232" s="133" t="s">
        <v>706</v>
      </c>
      <c r="B232" s="131">
        <f t="shared" si="7"/>
        <v>228</v>
      </c>
      <c r="C232" s="129" t="str">
        <f t="shared" si="6"/>
        <v>Quels sont les acteurs importants du marché ?</v>
      </c>
      <c r="D232" s="107"/>
      <c r="E232" s="318"/>
      <c r="F232" s="311" t="s">
        <v>317</v>
      </c>
      <c r="G232" s="319" t="s">
        <v>768</v>
      </c>
      <c r="H232" s="320" t="s">
        <v>1072</v>
      </c>
    </row>
    <row r="233" spans="1:8" ht="15" customHeight="1" x14ac:dyDescent="0.4">
      <c r="A233" s="133"/>
      <c r="B233" s="131">
        <f t="shared" si="7"/>
        <v>229</v>
      </c>
      <c r="C233" s="129" t="str">
        <f t="shared" si="6"/>
        <v>Quels investissements le programme engendre-t-il ?</v>
      </c>
      <c r="D233" s="107"/>
      <c r="E233" s="318"/>
      <c r="F233" s="311" t="s">
        <v>878</v>
      </c>
      <c r="G233" s="319" t="s">
        <v>526</v>
      </c>
      <c r="H233" s="320" t="s">
        <v>1073</v>
      </c>
    </row>
    <row r="234" spans="1:8" ht="15" customHeight="1" x14ac:dyDescent="0.4">
      <c r="A234" s="133" t="s">
        <v>708</v>
      </c>
      <c r="B234" s="131">
        <f t="shared" si="7"/>
        <v>230</v>
      </c>
      <c r="C234" s="129" t="str">
        <f t="shared" si="6"/>
        <v>Potentiels de gain d'efficacité ou d'économie (qualitatifs)</v>
      </c>
      <c r="D234" s="107"/>
      <c r="E234" s="318"/>
      <c r="F234" s="311" t="s">
        <v>318</v>
      </c>
      <c r="G234" s="319" t="s">
        <v>769</v>
      </c>
      <c r="H234" s="320" t="s">
        <v>1074</v>
      </c>
    </row>
    <row r="235" spans="1:8" ht="15" customHeight="1" x14ac:dyDescent="0.4">
      <c r="A235" s="133" t="s">
        <v>709</v>
      </c>
      <c r="B235" s="131">
        <f t="shared" si="7"/>
        <v>231</v>
      </c>
      <c r="C235" s="129" t="str">
        <f t="shared" si="6"/>
        <v>Quels sont les potentiels de gain d'efficacité ou d'économie existants à l'heure actuelle et quelles mesures doivent permettre d'exploiter ces potentiels ?</v>
      </c>
      <c r="D235" s="107"/>
      <c r="E235" s="318"/>
      <c r="F235" s="311" t="s">
        <v>319</v>
      </c>
      <c r="G235" s="319" t="s">
        <v>30</v>
      </c>
      <c r="H235" s="320" t="s">
        <v>1075</v>
      </c>
    </row>
    <row r="236" spans="1:8" ht="15" customHeight="1" x14ac:dyDescent="0.4">
      <c r="A236" s="133" t="s">
        <v>711</v>
      </c>
      <c r="B236" s="131">
        <f t="shared" si="7"/>
        <v>232</v>
      </c>
      <c r="C236" s="129">
        <f t="shared" si="6"/>
        <v>0</v>
      </c>
      <c r="D236" s="107"/>
      <c r="E236" s="318"/>
      <c r="F236" s="311"/>
      <c r="G236" s="319"/>
      <c r="H236" s="320"/>
    </row>
    <row r="237" spans="1:8" ht="15" customHeight="1" x14ac:dyDescent="0.4">
      <c r="A237" s="133" t="s">
        <v>712</v>
      </c>
      <c r="B237" s="131">
        <f t="shared" si="7"/>
        <v>233</v>
      </c>
      <c r="C237" s="129" t="str">
        <f t="shared" si="6"/>
        <v>Entraves</v>
      </c>
      <c r="D237" s="107"/>
      <c r="E237" s="318"/>
      <c r="F237" s="311" t="s">
        <v>320</v>
      </c>
      <c r="G237" s="319" t="s">
        <v>548</v>
      </c>
      <c r="H237" s="320" t="s">
        <v>1076</v>
      </c>
    </row>
    <row r="238" spans="1:8" ht="15" customHeight="1" x14ac:dyDescent="0.4">
      <c r="A238" s="133" t="s">
        <v>713</v>
      </c>
      <c r="B238" s="131">
        <f t="shared" si="7"/>
        <v>234</v>
      </c>
      <c r="C238" s="129" t="str">
        <f t="shared" si="6"/>
        <v>Pour quelles raisons les potentiels d'économie n'ont-ils pas été exploités jusqu'ici ? (entraves)</v>
      </c>
      <c r="D238" s="107"/>
      <c r="E238" s="318"/>
      <c r="F238" s="311" t="s">
        <v>321</v>
      </c>
      <c r="G238" s="319" t="s">
        <v>145</v>
      </c>
      <c r="H238" s="320" t="s">
        <v>1077</v>
      </c>
    </row>
    <row r="239" spans="1:8" ht="15" customHeight="1" x14ac:dyDescent="0.4">
      <c r="A239" s="133" t="s">
        <v>715</v>
      </c>
      <c r="B239" s="131">
        <f t="shared" si="7"/>
        <v>235</v>
      </c>
      <c r="C239" s="129" t="str">
        <f t="shared" si="6"/>
        <v>Quelle est l’importance de ces diverses entraves ?</v>
      </c>
      <c r="D239" s="107"/>
      <c r="E239" s="318"/>
      <c r="F239" s="311" t="s">
        <v>322</v>
      </c>
      <c r="G239" s="319" t="s">
        <v>135</v>
      </c>
      <c r="H239" s="320" t="s">
        <v>1078</v>
      </c>
    </row>
    <row r="240" spans="1:8" ht="15" customHeight="1" x14ac:dyDescent="0.4">
      <c r="A240" s="133" t="s">
        <v>729</v>
      </c>
      <c r="B240" s="131">
        <f t="shared" si="7"/>
        <v>236</v>
      </c>
      <c r="C240" s="129" t="str">
        <f t="shared" si="6"/>
        <v>Description de la situation initiale et de l'application sur laquelle le programme doit agir.</v>
      </c>
      <c r="D240" s="107"/>
      <c r="E240" s="318"/>
      <c r="F240" s="311" t="s">
        <v>323</v>
      </c>
      <c r="G240" s="319" t="s">
        <v>146</v>
      </c>
      <c r="H240" s="320" t="s">
        <v>1079</v>
      </c>
    </row>
    <row r="241" spans="1:8" ht="15" customHeight="1" x14ac:dyDescent="0.4">
      <c r="A241" s="133" t="s">
        <v>722</v>
      </c>
      <c r="B241" s="131">
        <f t="shared" si="7"/>
        <v>237</v>
      </c>
      <c r="C241" s="129" t="str">
        <f t="shared" si="6"/>
        <v>Description des acteurs importants du marché (utilisateurs finaux, agents du marché, producteurs) et de leur rôle.</v>
      </c>
      <c r="D241" s="107"/>
      <c r="E241" s="318"/>
      <c r="F241" s="311" t="s">
        <v>324</v>
      </c>
      <c r="G241" s="319" t="s">
        <v>107</v>
      </c>
      <c r="H241" s="320" t="s">
        <v>1080</v>
      </c>
    </row>
    <row r="242" spans="1:8" ht="15" customHeight="1" x14ac:dyDescent="0.4">
      <c r="A242" s="133"/>
      <c r="B242" s="131">
        <f t="shared" si="7"/>
        <v>238</v>
      </c>
      <c r="C242" s="129" t="str">
        <f t="shared" si="6"/>
        <v>Évaluation du total des investissements engendrés par le programme</v>
      </c>
      <c r="D242" s="107"/>
      <c r="E242" s="318"/>
      <c r="F242" s="311" t="s">
        <v>896</v>
      </c>
      <c r="G242" s="319" t="s">
        <v>527</v>
      </c>
      <c r="H242" s="320" t="s">
        <v>1081</v>
      </c>
    </row>
    <row r="243" spans="1:8" ht="15" customHeight="1" x14ac:dyDescent="0.4">
      <c r="A243" s="133" t="s">
        <v>725</v>
      </c>
      <c r="B243" s="131">
        <f t="shared" si="7"/>
        <v>239</v>
      </c>
      <c r="C243" s="129" t="str">
        <f t="shared" si="6"/>
        <v>Description des potentiels d'économie par rapport à la situation actuelle.
Description des mesures individuelles visant à exploiter ces potentiels.</v>
      </c>
      <c r="D243" s="107"/>
      <c r="E243" s="318"/>
      <c r="F243" s="311" t="s">
        <v>325</v>
      </c>
      <c r="G243" s="319" t="s">
        <v>147</v>
      </c>
      <c r="H243" s="320" t="s">
        <v>1082</v>
      </c>
    </row>
    <row r="244" spans="1:8" ht="15" customHeight="1" x14ac:dyDescent="0.4">
      <c r="A244" s="133" t="s">
        <v>732</v>
      </c>
      <c r="B244" s="131">
        <f t="shared" si="7"/>
        <v>240</v>
      </c>
      <c r="C244" s="129">
        <f t="shared" si="6"/>
        <v>0</v>
      </c>
      <c r="D244" s="107"/>
      <c r="E244" s="318"/>
      <c r="F244" s="311"/>
      <c r="G244" s="319"/>
      <c r="H244" s="320"/>
    </row>
    <row r="245" spans="1:8" ht="15" customHeight="1" x14ac:dyDescent="0.4">
      <c r="A245" s="133" t="s">
        <v>728</v>
      </c>
      <c r="B245" s="131">
        <f t="shared" si="7"/>
        <v>241</v>
      </c>
      <c r="C245" s="129" t="str">
        <f t="shared" si="6"/>
        <v>Description des raisons et des entraves empêchant l'exploitation des potentiels d'économie à ce jour.</v>
      </c>
      <c r="D245" s="107"/>
      <c r="E245" s="318"/>
      <c r="F245" s="311" t="s">
        <v>326</v>
      </c>
      <c r="G245" s="319" t="s">
        <v>2</v>
      </c>
      <c r="H245" s="320" t="s">
        <v>1083</v>
      </c>
    </row>
    <row r="246" spans="1:8" ht="15" customHeight="1" x14ac:dyDescent="0.4">
      <c r="A246" s="133" t="s">
        <v>727</v>
      </c>
      <c r="B246" s="131">
        <f t="shared" si="7"/>
        <v>242</v>
      </c>
      <c r="C246" s="129" t="str">
        <f t="shared" si="6"/>
        <v>Explication de l'importance des différentes entraves (pondération)</v>
      </c>
      <c r="D246" s="107"/>
      <c r="E246" s="318"/>
      <c r="F246" s="311" t="s">
        <v>327</v>
      </c>
      <c r="G246" s="319" t="s">
        <v>148</v>
      </c>
      <c r="H246" s="320" t="s">
        <v>1084</v>
      </c>
    </row>
    <row r="247" spans="1:8" ht="15" customHeight="1" x14ac:dyDescent="0.4">
      <c r="A247" s="133"/>
      <c r="B247" s="131">
        <f t="shared" si="7"/>
        <v>243</v>
      </c>
      <c r="C247" s="129">
        <f t="shared" si="6"/>
        <v>0</v>
      </c>
      <c r="D247" s="107"/>
      <c r="E247" s="318"/>
      <c r="F247" s="311"/>
      <c r="G247" s="319"/>
      <c r="H247" s="320"/>
    </row>
    <row r="248" spans="1:8" ht="15" customHeight="1" x14ac:dyDescent="0.4">
      <c r="A248" s="133"/>
      <c r="B248" s="131">
        <f t="shared" si="7"/>
        <v>244</v>
      </c>
      <c r="C248" s="129">
        <f t="shared" si="6"/>
        <v>0</v>
      </c>
      <c r="D248" s="107"/>
      <c r="E248" s="318"/>
      <c r="F248" s="311"/>
      <c r="G248" s="319"/>
      <c r="H248" s="320"/>
    </row>
    <row r="249" spans="1:8" ht="15" customHeight="1" x14ac:dyDescent="0.4">
      <c r="A249" s="130" t="s">
        <v>835</v>
      </c>
      <c r="B249" s="131">
        <f t="shared" si="7"/>
        <v>245</v>
      </c>
      <c r="C249" s="129">
        <f t="shared" si="6"/>
        <v>0</v>
      </c>
      <c r="D249" s="107"/>
      <c r="E249" s="318"/>
      <c r="F249" s="311"/>
      <c r="G249" s="319"/>
      <c r="H249" s="320"/>
    </row>
    <row r="250" spans="1:8" ht="15" customHeight="1" x14ac:dyDescent="0.4">
      <c r="A250" s="133" t="s">
        <v>705</v>
      </c>
      <c r="B250" s="131">
        <f t="shared" si="7"/>
        <v>246</v>
      </c>
      <c r="C250" s="129" t="str">
        <f t="shared" si="6"/>
        <v>Prestations contenues dans les mesures (Partie 1)</v>
      </c>
      <c r="D250" s="107"/>
      <c r="E250" s="318"/>
      <c r="F250" s="311" t="s">
        <v>328</v>
      </c>
      <c r="G250" s="319" t="s">
        <v>833</v>
      </c>
      <c r="H250" s="320" t="s">
        <v>1085</v>
      </c>
    </row>
    <row r="251" spans="1:8" ht="15" customHeight="1" x14ac:dyDescent="0.4">
      <c r="A251" s="133" t="s">
        <v>637</v>
      </c>
      <c r="B251" s="131">
        <f t="shared" si="7"/>
        <v>247</v>
      </c>
      <c r="C251" s="129" t="str">
        <f t="shared" si="6"/>
        <v>Détails</v>
      </c>
      <c r="D251" s="107"/>
      <c r="E251" s="318"/>
      <c r="F251" s="311" t="s">
        <v>329</v>
      </c>
      <c r="G251" s="319" t="s">
        <v>831</v>
      </c>
      <c r="H251" s="320" t="s">
        <v>1086</v>
      </c>
    </row>
    <row r="252" spans="1:8" ht="15" customHeight="1" x14ac:dyDescent="0.4">
      <c r="A252" s="133" t="s">
        <v>706</v>
      </c>
      <c r="B252" s="131">
        <f t="shared" si="7"/>
        <v>248</v>
      </c>
      <c r="C252" s="129" t="str">
        <f t="shared" si="6"/>
        <v>Titre de la mesure</v>
      </c>
      <c r="D252" s="107"/>
      <c r="E252" s="318"/>
      <c r="F252" s="311" t="s">
        <v>330</v>
      </c>
      <c r="G252" s="319" t="s">
        <v>793</v>
      </c>
      <c r="H252" s="320" t="s">
        <v>1087</v>
      </c>
    </row>
    <row r="253" spans="1:8" ht="15" customHeight="1" x14ac:dyDescent="0.4">
      <c r="A253" s="133" t="s">
        <v>707</v>
      </c>
      <c r="B253" s="131">
        <f t="shared" si="7"/>
        <v>249</v>
      </c>
      <c r="C253" s="129" t="str">
        <f t="shared" si="6"/>
        <v>Titre de la mesure 1 (Prestation principale)</v>
      </c>
      <c r="D253" s="107"/>
      <c r="E253" s="318"/>
      <c r="F253" s="311" t="s">
        <v>1302</v>
      </c>
      <c r="G253" s="319" t="s">
        <v>1299</v>
      </c>
      <c r="H253" s="320" t="s">
        <v>1305</v>
      </c>
    </row>
    <row r="254" spans="1:8" ht="15" customHeight="1" x14ac:dyDescent="0.4">
      <c r="A254" s="133" t="s">
        <v>708</v>
      </c>
      <c r="B254" s="131">
        <f t="shared" si="7"/>
        <v>250</v>
      </c>
      <c r="C254" s="129" t="str">
        <f t="shared" si="6"/>
        <v>Titre de la mesure 2 (Prestation complémentaire)</v>
      </c>
      <c r="D254" s="107"/>
      <c r="E254" s="318"/>
      <c r="F254" s="311" t="s">
        <v>1303</v>
      </c>
      <c r="G254" s="319" t="s">
        <v>1300</v>
      </c>
      <c r="H254" s="320" t="s">
        <v>1306</v>
      </c>
    </row>
    <row r="255" spans="1:8" ht="15" customHeight="1" x14ac:dyDescent="0.4">
      <c r="A255" s="133" t="s">
        <v>709</v>
      </c>
      <c r="B255" s="131">
        <f t="shared" si="7"/>
        <v>251</v>
      </c>
      <c r="C255" s="129" t="str">
        <f t="shared" si="6"/>
        <v>Titre de la mesure 3 (Diverses prestations)</v>
      </c>
      <c r="D255" s="107"/>
      <c r="E255" s="318"/>
      <c r="F255" s="311" t="s">
        <v>1304</v>
      </c>
      <c r="G255" s="319" t="s">
        <v>1301</v>
      </c>
      <c r="H255" s="320" t="s">
        <v>1307</v>
      </c>
    </row>
    <row r="256" spans="1:8" ht="15" customHeight="1" x14ac:dyDescent="0.4">
      <c r="A256" s="133" t="s">
        <v>858</v>
      </c>
      <c r="B256" s="131">
        <f t="shared" si="7"/>
        <v>252</v>
      </c>
      <c r="C256" s="129" t="str">
        <f t="shared" si="6"/>
        <v>Quelles mesures le programme contient-il et quels sont leurs objectifs ?</v>
      </c>
      <c r="D256" s="107"/>
      <c r="E256" s="318"/>
      <c r="F256" s="311" t="s">
        <v>331</v>
      </c>
      <c r="G256" s="319" t="s">
        <v>32</v>
      </c>
      <c r="H256" s="320" t="s">
        <v>1088</v>
      </c>
    </row>
    <row r="257" spans="1:8" ht="15" customHeight="1" x14ac:dyDescent="0.4">
      <c r="A257" s="133" t="s">
        <v>740</v>
      </c>
      <c r="B257" s="131">
        <f t="shared" si="7"/>
        <v>253</v>
      </c>
      <c r="C257" s="129" t="str">
        <f t="shared" si="6"/>
        <v>À qui s’adressent les prestations (groupes cibles) ?</v>
      </c>
      <c r="D257" s="107"/>
      <c r="E257" s="318"/>
      <c r="F257" s="311" t="s">
        <v>332</v>
      </c>
      <c r="G257" s="319" t="s">
        <v>3</v>
      </c>
      <c r="H257" s="320" t="s">
        <v>1089</v>
      </c>
    </row>
    <row r="258" spans="1:8" ht="15" customHeight="1" x14ac:dyDescent="0.4">
      <c r="A258" s="133" t="s">
        <v>741</v>
      </c>
      <c r="B258" s="131">
        <f t="shared" si="7"/>
        <v>254</v>
      </c>
      <c r="C258" s="129" t="str">
        <f t="shared" si="6"/>
        <v>Qui met en œuvre les économies d'électricité (intermédiaire) ?</v>
      </c>
      <c r="D258" s="107"/>
      <c r="E258" s="318"/>
      <c r="F258" s="311" t="s">
        <v>333</v>
      </c>
      <c r="G258" s="319" t="s">
        <v>795</v>
      </c>
      <c r="H258" s="320" t="s">
        <v>1090</v>
      </c>
    </row>
    <row r="259" spans="1:8" ht="15" customHeight="1" x14ac:dyDescent="0.4">
      <c r="A259" s="133" t="s">
        <v>722</v>
      </c>
      <c r="B259" s="131">
        <f t="shared" si="7"/>
        <v>255</v>
      </c>
      <c r="C259" s="129" t="str">
        <f t="shared" si="6"/>
        <v>Quelles prestations ou quels produits le programme propose-t-il (type, ampleur et qualité des prestations) ?</v>
      </c>
      <c r="D259" s="107"/>
      <c r="E259" s="318"/>
      <c r="F259" s="311" t="s">
        <v>334</v>
      </c>
      <c r="G259" s="319" t="s">
        <v>149</v>
      </c>
      <c r="H259" s="320" t="s">
        <v>1091</v>
      </c>
    </row>
    <row r="260" spans="1:8" ht="15" customHeight="1" x14ac:dyDescent="0.4">
      <c r="A260" s="133" t="s">
        <v>859</v>
      </c>
      <c r="B260" s="131">
        <f t="shared" si="7"/>
        <v>256</v>
      </c>
      <c r="C260" s="129" t="str">
        <f t="shared" si="6"/>
        <v>Description des mesures en indiquant les objectifs, prestations et groupes cibles (s'il s'agit de plus de trois mesures, veuillez regrouper les mesures).</v>
      </c>
      <c r="D260" s="107"/>
      <c r="E260" s="318"/>
      <c r="F260" s="311" t="s">
        <v>516</v>
      </c>
      <c r="G260" s="319" t="s">
        <v>108</v>
      </c>
      <c r="H260" s="320" t="s">
        <v>1092</v>
      </c>
    </row>
    <row r="261" spans="1:8" ht="15" customHeight="1" x14ac:dyDescent="0.4">
      <c r="A261" s="133" t="s">
        <v>730</v>
      </c>
      <c r="B261" s="131">
        <f t="shared" si="7"/>
        <v>257</v>
      </c>
      <c r="C261" s="129" t="str">
        <f t="shared" ref="C261:C324" si="8">IF($B$1="f",F261,IF($B$1="d",G261,H261))</f>
        <v>Mesure et objectif</v>
      </c>
      <c r="D261" s="107"/>
      <c r="E261" s="318"/>
      <c r="F261" s="311" t="s">
        <v>335</v>
      </c>
      <c r="G261" s="319" t="s">
        <v>31</v>
      </c>
      <c r="H261" s="320" t="s">
        <v>1093</v>
      </c>
    </row>
    <row r="262" spans="1:8" ht="15" customHeight="1" x14ac:dyDescent="0.4">
      <c r="A262" s="133" t="s">
        <v>860</v>
      </c>
      <c r="B262" s="131">
        <f t="shared" ref="B262:B325" si="9">B261+1</f>
        <v>258</v>
      </c>
      <c r="C262" s="129" t="str">
        <f t="shared" si="8"/>
        <v>Groupe cible</v>
      </c>
      <c r="D262" s="107"/>
      <c r="E262" s="318"/>
      <c r="F262" s="311" t="s">
        <v>336</v>
      </c>
      <c r="G262" s="319" t="s">
        <v>790</v>
      </c>
      <c r="H262" s="320" t="s">
        <v>1094</v>
      </c>
    </row>
    <row r="263" spans="1:8" ht="15" customHeight="1" x14ac:dyDescent="0.4">
      <c r="A263" s="133" t="s">
        <v>861</v>
      </c>
      <c r="B263" s="131">
        <f t="shared" si="9"/>
        <v>259</v>
      </c>
      <c r="C263" s="129">
        <f t="shared" si="8"/>
        <v>0</v>
      </c>
      <c r="D263" s="107"/>
      <c r="E263" s="318"/>
      <c r="F263" s="311"/>
      <c r="G263" s="319"/>
      <c r="H263" s="320"/>
    </row>
    <row r="264" spans="1:8" ht="15" customHeight="1" x14ac:dyDescent="0.4">
      <c r="A264" s="133" t="s">
        <v>729</v>
      </c>
      <c r="B264" s="131">
        <f t="shared" si="9"/>
        <v>260</v>
      </c>
      <c r="C264" s="129" t="str">
        <f t="shared" si="8"/>
        <v>Prestations (description et quantification)</v>
      </c>
      <c r="D264" s="107"/>
      <c r="E264" s="318"/>
      <c r="F264" s="311" t="s">
        <v>337</v>
      </c>
      <c r="G264" s="319" t="s">
        <v>791</v>
      </c>
      <c r="H264" s="320" t="s">
        <v>1095</v>
      </c>
    </row>
    <row r="265" spans="1:8" ht="15" customHeight="1" x14ac:dyDescent="0.4">
      <c r="A265" s="133"/>
      <c r="B265" s="131">
        <f t="shared" si="9"/>
        <v>261</v>
      </c>
      <c r="C265" s="129" t="str">
        <f t="shared" si="8"/>
        <v>Titre de la mesure: Définir un court titre de l'activité.
La prestation principale contient toutes les actions liées à des contributions financières directes par application</v>
      </c>
      <c r="D265" s="107"/>
      <c r="E265" s="318"/>
      <c r="F265" s="311" t="s">
        <v>513</v>
      </c>
      <c r="G265" s="319" t="s">
        <v>461</v>
      </c>
      <c r="H265" s="320" t="s">
        <v>1096</v>
      </c>
    </row>
    <row r="266" spans="1:8" ht="15" customHeight="1" x14ac:dyDescent="0.4">
      <c r="A266" s="133"/>
      <c r="B266" s="131">
        <f t="shared" si="9"/>
        <v>262</v>
      </c>
      <c r="C266" s="129" t="str">
        <f t="shared" si="8"/>
        <v>Titre de la mesure: Définir un court titre de l'activité.
La (les prestation(s) complémentaire(s) contien(nen)t toutes les actions liées à la réduction des entraves autres que financières</v>
      </c>
      <c r="D266" s="107"/>
      <c r="E266" s="318"/>
      <c r="F266" s="311" t="s">
        <v>514</v>
      </c>
      <c r="G266" s="319" t="s">
        <v>462</v>
      </c>
      <c r="H266" s="320" t="s">
        <v>1097</v>
      </c>
    </row>
    <row r="267" spans="1:8" ht="15" customHeight="1" x14ac:dyDescent="0.4">
      <c r="A267" s="133"/>
      <c r="B267" s="131">
        <f t="shared" si="9"/>
        <v>263</v>
      </c>
      <c r="C267" s="129" t="str">
        <f t="shared" si="8"/>
        <v>Coûts d'information et de formation</v>
      </c>
      <c r="D267" s="107"/>
      <c r="E267" s="318"/>
      <c r="F267" s="311" t="s">
        <v>1333</v>
      </c>
      <c r="G267" s="319" t="s">
        <v>1332</v>
      </c>
      <c r="H267" s="320" t="s">
        <v>1366</v>
      </c>
    </row>
    <row r="268" spans="1:8" ht="15" customHeight="1" x14ac:dyDescent="0.4">
      <c r="A268" s="133"/>
      <c r="B268" s="131">
        <f t="shared" si="9"/>
        <v>264</v>
      </c>
      <c r="C268" s="129">
        <f t="shared" si="8"/>
        <v>0</v>
      </c>
      <c r="D268" s="107"/>
      <c r="E268" s="318"/>
      <c r="F268" s="311"/>
      <c r="G268" s="319"/>
      <c r="H268" s="320"/>
    </row>
    <row r="269" spans="1:8" ht="15" customHeight="1" x14ac:dyDescent="0.4">
      <c r="A269" s="133"/>
      <c r="B269" s="131">
        <f t="shared" si="9"/>
        <v>265</v>
      </c>
      <c r="C269" s="129">
        <f t="shared" si="8"/>
        <v>0</v>
      </c>
      <c r="D269" s="107"/>
      <c r="E269" s="318"/>
      <c r="F269" s="311"/>
      <c r="G269" s="319"/>
      <c r="H269" s="320"/>
    </row>
    <row r="270" spans="1:8" ht="15" customHeight="1" x14ac:dyDescent="0.4">
      <c r="A270" s="130" t="s">
        <v>836</v>
      </c>
      <c r="B270" s="131">
        <f t="shared" si="9"/>
        <v>266</v>
      </c>
      <c r="C270" s="129">
        <f t="shared" si="8"/>
        <v>0</v>
      </c>
      <c r="D270" s="107"/>
      <c r="E270" s="318"/>
      <c r="F270" s="311"/>
      <c r="G270" s="319"/>
      <c r="H270" s="320"/>
    </row>
    <row r="271" spans="1:8" ht="15" customHeight="1" x14ac:dyDescent="0.4">
      <c r="A271" s="133" t="s">
        <v>730</v>
      </c>
      <c r="B271" s="131">
        <f t="shared" si="9"/>
        <v>267</v>
      </c>
      <c r="C271" s="129" t="str">
        <f t="shared" si="8"/>
        <v>Complément des mesures existantes de la Confédération / du canton</v>
      </c>
      <c r="D271" s="107"/>
      <c r="E271" s="318"/>
      <c r="F271" s="311" t="s">
        <v>338</v>
      </c>
      <c r="G271" s="319" t="s">
        <v>792</v>
      </c>
      <c r="H271" s="320" t="s">
        <v>1098</v>
      </c>
    </row>
    <row r="272" spans="1:8" ht="15" customHeight="1" x14ac:dyDescent="0.4">
      <c r="A272" s="133" t="s">
        <v>862</v>
      </c>
      <c r="B272" s="131">
        <f t="shared" si="9"/>
        <v>268</v>
      </c>
      <c r="C272" s="129" t="str">
        <f t="shared" si="8"/>
        <v>Taux de pénétration</v>
      </c>
      <c r="D272" s="107"/>
      <c r="E272" s="318"/>
      <c r="F272" s="311" t="s">
        <v>339</v>
      </c>
      <c r="G272" s="319" t="s">
        <v>832</v>
      </c>
      <c r="H272" s="320" t="s">
        <v>1099</v>
      </c>
    </row>
    <row r="273" spans="1:8" ht="15" customHeight="1" x14ac:dyDescent="0.4">
      <c r="A273" s="133" t="s">
        <v>860</v>
      </c>
      <c r="B273" s="131">
        <f t="shared" si="9"/>
        <v>269</v>
      </c>
      <c r="C273" s="129" t="str">
        <f t="shared" si="8"/>
        <v>Quelles entraves veut-on supprimer ?</v>
      </c>
      <c r="D273" s="107"/>
      <c r="E273" s="318"/>
      <c r="F273" s="311" t="s">
        <v>340</v>
      </c>
      <c r="G273" s="319" t="s">
        <v>136</v>
      </c>
      <c r="H273" s="320" t="s">
        <v>1100</v>
      </c>
    </row>
    <row r="274" spans="1:8" ht="15" customHeight="1" x14ac:dyDescent="0.4">
      <c r="A274" s="133" t="s">
        <v>861</v>
      </c>
      <c r="B274" s="131">
        <f t="shared" si="9"/>
        <v>270</v>
      </c>
      <c r="C274" s="129" t="str">
        <f t="shared" si="8"/>
        <v>Changements de comportement</v>
      </c>
      <c r="D274" s="107"/>
      <c r="E274" s="318"/>
      <c r="F274" s="311" t="s">
        <v>341</v>
      </c>
      <c r="G274" s="319" t="s">
        <v>799</v>
      </c>
      <c r="H274" s="320" t="s">
        <v>1101</v>
      </c>
    </row>
    <row r="275" spans="1:8" ht="15" customHeight="1" x14ac:dyDescent="0.4">
      <c r="A275" s="133" t="s">
        <v>729</v>
      </c>
      <c r="B275" s="131">
        <f t="shared" si="9"/>
        <v>271</v>
      </c>
      <c r="C275" s="129" t="str">
        <f t="shared" si="8"/>
        <v>Interaction des diverses mesures</v>
      </c>
      <c r="D275" s="107"/>
      <c r="E275" s="318"/>
      <c r="F275" s="311" t="s">
        <v>342</v>
      </c>
      <c r="G275" s="319" t="s">
        <v>794</v>
      </c>
      <c r="H275" s="320" t="s">
        <v>1102</v>
      </c>
    </row>
    <row r="276" spans="1:8" ht="15" customHeight="1" x14ac:dyDescent="0.4">
      <c r="A276" s="133" t="s">
        <v>858</v>
      </c>
      <c r="B276" s="131">
        <f t="shared" si="9"/>
        <v>272</v>
      </c>
      <c r="C276" s="129" t="str">
        <f t="shared" si="8"/>
        <v>S’agit-il d’un complément à des mesures actuelles de la Confédération ou du Canton ? (Oui/Non) Si oui, en quoi ce complément consiste-t-il ?</v>
      </c>
      <c r="D276" s="107"/>
      <c r="E276" s="318"/>
      <c r="F276" s="311" t="s">
        <v>515</v>
      </c>
      <c r="G276" s="319" t="s">
        <v>150</v>
      </c>
      <c r="H276" s="320" t="s">
        <v>1103</v>
      </c>
    </row>
    <row r="277" spans="1:8" ht="15" customHeight="1" x14ac:dyDescent="0.4">
      <c r="A277" s="133" t="s">
        <v>739</v>
      </c>
      <c r="B277" s="131">
        <f t="shared" si="9"/>
        <v>273</v>
      </c>
      <c r="C277" s="129" t="str">
        <f t="shared" si="8"/>
        <v>Combien de personnes ou d’organisations veut-on atteindre par les prestations en question (taux de pénétration des groupes cibles) ?</v>
      </c>
      <c r="D277" s="107"/>
      <c r="E277" s="318"/>
      <c r="F277" s="311" t="s">
        <v>343</v>
      </c>
      <c r="G277" s="319" t="s">
        <v>796</v>
      </c>
      <c r="H277" s="320" t="s">
        <v>1104</v>
      </c>
    </row>
    <row r="278" spans="1:8" ht="15" customHeight="1" x14ac:dyDescent="0.4">
      <c r="A278" s="133" t="s">
        <v>740</v>
      </c>
      <c r="B278" s="131">
        <f t="shared" si="9"/>
        <v>274</v>
      </c>
      <c r="C278" s="129" t="str">
        <f t="shared" si="8"/>
        <v>Quelles entraves veut-on supprimer ou réduire grâce aux prestations ?</v>
      </c>
      <c r="D278" s="107"/>
      <c r="E278" s="318"/>
      <c r="F278" s="311" t="s">
        <v>344</v>
      </c>
      <c r="G278" s="319" t="s">
        <v>797</v>
      </c>
      <c r="H278" s="320" t="s">
        <v>1105</v>
      </c>
    </row>
    <row r="279" spans="1:8" ht="15" customHeight="1" x14ac:dyDescent="0.4">
      <c r="A279" s="133" t="s">
        <v>741</v>
      </c>
      <c r="B279" s="131">
        <f t="shared" si="9"/>
        <v>275</v>
      </c>
      <c r="C279" s="129" t="str">
        <f t="shared" si="8"/>
        <v>Quels changements de comportement les prestations doivent-elles induire parmi les groupes cibles (comportement d’investissement, comportement d’utilisation ou d'utilisateur, autre) ?</v>
      </c>
      <c r="D279" s="107"/>
      <c r="E279" s="318"/>
      <c r="F279" s="311" t="s">
        <v>345</v>
      </c>
      <c r="G279" s="319" t="s">
        <v>4</v>
      </c>
      <c r="H279" s="320" t="s">
        <v>1106</v>
      </c>
    </row>
    <row r="280" spans="1:8" ht="15" customHeight="1" x14ac:dyDescent="0.4">
      <c r="A280" s="133" t="s">
        <v>722</v>
      </c>
      <c r="B280" s="131">
        <f t="shared" si="9"/>
        <v>276</v>
      </c>
      <c r="C280" s="129" t="str">
        <f t="shared" si="8"/>
        <v>Comment les diverses prestations ou mesures se complètent-elles ?</v>
      </c>
      <c r="D280" s="107"/>
      <c r="E280" s="318"/>
      <c r="F280" s="311" t="s">
        <v>346</v>
      </c>
      <c r="G280" s="319" t="s">
        <v>798</v>
      </c>
      <c r="H280" s="320" t="s">
        <v>1107</v>
      </c>
    </row>
    <row r="281" spans="1:8" ht="15" customHeight="1" x14ac:dyDescent="0.4">
      <c r="A281" s="133" t="s">
        <v>705</v>
      </c>
      <c r="B281" s="131">
        <f t="shared" si="9"/>
        <v>277</v>
      </c>
      <c r="C281" s="129" t="str">
        <f t="shared" si="8"/>
        <v>Prestations contenues dans les mesures (Partie 2)</v>
      </c>
      <c r="D281" s="107"/>
      <c r="E281" s="318"/>
      <c r="F281" s="311" t="s">
        <v>347</v>
      </c>
      <c r="G281" s="319" t="s">
        <v>834</v>
      </c>
      <c r="H281" s="320" t="s">
        <v>1108</v>
      </c>
    </row>
    <row r="282" spans="1:8" ht="15" customHeight="1" x14ac:dyDescent="0.4">
      <c r="A282" s="133"/>
      <c r="B282" s="131">
        <f t="shared" si="9"/>
        <v>278</v>
      </c>
      <c r="C282" s="129">
        <f t="shared" si="8"/>
        <v>0</v>
      </c>
      <c r="D282" s="107"/>
      <c r="E282" s="318"/>
      <c r="F282" s="311"/>
      <c r="G282" s="324"/>
      <c r="H282" s="320"/>
    </row>
    <row r="283" spans="1:8" ht="15" customHeight="1" x14ac:dyDescent="0.4">
      <c r="A283" s="133"/>
      <c r="B283" s="131">
        <f t="shared" si="9"/>
        <v>279</v>
      </c>
      <c r="C283" s="129">
        <f t="shared" si="8"/>
        <v>0</v>
      </c>
      <c r="D283" s="107"/>
      <c r="E283" s="318"/>
      <c r="F283" s="311"/>
      <c r="G283" s="324" t="s">
        <v>1431</v>
      </c>
      <c r="H283" s="320"/>
    </row>
    <row r="284" spans="1:8" ht="15" customHeight="1" x14ac:dyDescent="0.4">
      <c r="A284" s="133"/>
      <c r="B284" s="131">
        <f t="shared" si="9"/>
        <v>280</v>
      </c>
      <c r="C284" s="129">
        <f t="shared" si="8"/>
        <v>0</v>
      </c>
      <c r="D284" s="107"/>
      <c r="E284" s="318"/>
      <c r="F284" s="311"/>
      <c r="G284" s="319"/>
      <c r="H284" s="320"/>
    </row>
    <row r="285" spans="1:8" ht="15" customHeight="1" x14ac:dyDescent="0.4">
      <c r="A285" s="130" t="s">
        <v>863</v>
      </c>
      <c r="B285" s="131">
        <f t="shared" si="9"/>
        <v>281</v>
      </c>
      <c r="C285" s="129">
        <f t="shared" si="8"/>
        <v>0</v>
      </c>
      <c r="D285" s="107"/>
      <c r="E285" s="318"/>
      <c r="F285" s="311"/>
      <c r="G285" s="319"/>
      <c r="H285" s="320"/>
    </row>
    <row r="286" spans="1:8" ht="15" customHeight="1" x14ac:dyDescent="0.4">
      <c r="A286" s="133"/>
      <c r="B286" s="131">
        <f t="shared" si="9"/>
        <v>282</v>
      </c>
      <c r="C286" s="129" t="str">
        <f t="shared" si="8"/>
        <v>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v>
      </c>
      <c r="D286" s="107"/>
      <c r="E286" s="318"/>
      <c r="F286" s="311" t="s">
        <v>1550</v>
      </c>
      <c r="G286" s="319" t="s">
        <v>1432</v>
      </c>
      <c r="H286" s="320" t="s">
        <v>1457</v>
      </c>
    </row>
    <row r="287" spans="1:8" ht="15" customHeight="1" x14ac:dyDescent="0.4">
      <c r="A287" s="133"/>
      <c r="B287" s="131">
        <f t="shared" si="9"/>
        <v>283</v>
      </c>
      <c r="C287" s="129" t="str">
        <f t="shared" si="8"/>
        <v>Avis</v>
      </c>
      <c r="D287" s="107"/>
      <c r="E287" s="318"/>
      <c r="F287" s="311" t="s">
        <v>348</v>
      </c>
      <c r="G287" s="319" t="s">
        <v>34</v>
      </c>
      <c r="H287" s="320" t="s">
        <v>1109</v>
      </c>
    </row>
    <row r="288" spans="1:8" ht="15" customHeight="1" x14ac:dyDescent="0.4">
      <c r="A288" s="133"/>
      <c r="B288" s="131">
        <f t="shared" si="9"/>
        <v>284</v>
      </c>
      <c r="C288" s="129" t="str">
        <f t="shared" si="8"/>
        <v>Calcul de la réduction de la consommation d'électricité</v>
      </c>
      <c r="D288" s="107"/>
      <c r="E288" s="318"/>
      <c r="F288" s="311" t="s">
        <v>349</v>
      </c>
      <c r="G288" s="319" t="s">
        <v>33</v>
      </c>
      <c r="H288" s="320" t="s">
        <v>1110</v>
      </c>
    </row>
    <row r="289" spans="1:8" ht="15" customHeight="1" x14ac:dyDescent="0.4">
      <c r="A289" s="120"/>
      <c r="B289" s="131">
        <f t="shared" si="9"/>
        <v>285</v>
      </c>
      <c r="C289" s="129" t="str">
        <f t="shared" si="8"/>
        <v>Explication des principes de l'analyse ex-ante des effets (modèles quantitatifs, consommation, prestation et durée d'utilisation, taux de renouvellement) selon les conditions pour la soumission des programmes en 2016, chapitre 3.2.
Création d'une annexe comprenant toutes les informations importantes pour l'estimation des effets du programme.</v>
      </c>
      <c r="D289" s="107"/>
      <c r="E289" s="318"/>
      <c r="F289" s="311" t="s">
        <v>1834</v>
      </c>
      <c r="G289" s="319" t="s">
        <v>1619</v>
      </c>
      <c r="H289" s="320" t="s">
        <v>1620</v>
      </c>
    </row>
    <row r="290" spans="1:8" ht="15" customHeight="1" x14ac:dyDescent="0.4">
      <c r="A290" s="120"/>
      <c r="B290" s="131">
        <f t="shared" si="9"/>
        <v>286</v>
      </c>
      <c r="C290" s="129" t="str">
        <f t="shared" si="8"/>
        <v>Analyse (quantitative) des effets</v>
      </c>
      <c r="D290" s="107"/>
      <c r="E290" s="318"/>
      <c r="F290" s="311" t="s">
        <v>517</v>
      </c>
      <c r="G290" s="319" t="s">
        <v>450</v>
      </c>
      <c r="H290" s="320" t="s">
        <v>1111</v>
      </c>
    </row>
    <row r="291" spans="1:8" ht="15" customHeight="1" x14ac:dyDescent="0.4">
      <c r="A291" s="120"/>
      <c r="B291" s="131">
        <f t="shared" si="9"/>
        <v>287</v>
      </c>
      <c r="C291" s="129" t="str">
        <f t="shared" si="8"/>
        <v>Chiffres-clés de l'analyse des effets</v>
      </c>
      <c r="D291" s="107"/>
      <c r="E291" s="318"/>
      <c r="F291" s="311" t="s">
        <v>350</v>
      </c>
      <c r="G291" s="319" t="s">
        <v>451</v>
      </c>
      <c r="H291" s="320" t="s">
        <v>1112</v>
      </c>
    </row>
    <row r="292" spans="1:8" ht="15" customHeight="1" x14ac:dyDescent="0.4">
      <c r="A292" s="133"/>
      <c r="B292" s="131">
        <f t="shared" si="9"/>
        <v>288</v>
      </c>
      <c r="C292" s="129" t="str">
        <f t="shared" si="8"/>
        <v>Ø Évolution en kWh</v>
      </c>
      <c r="D292" s="107"/>
      <c r="E292" s="318"/>
      <c r="F292" s="311" t="s">
        <v>351</v>
      </c>
      <c r="G292" s="319" t="s">
        <v>842</v>
      </c>
      <c r="H292" s="320" t="s">
        <v>1113</v>
      </c>
    </row>
    <row r="293" spans="1:8" ht="15" customHeight="1" x14ac:dyDescent="0.4">
      <c r="A293" s="133"/>
      <c r="B293" s="131">
        <f t="shared" si="9"/>
        <v>289</v>
      </c>
      <c r="C293" s="129" t="str">
        <f t="shared" si="8"/>
        <v>Ø Évolution en CHF</v>
      </c>
      <c r="D293" s="107"/>
      <c r="E293" s="318"/>
      <c r="F293" s="311" t="s">
        <v>352</v>
      </c>
      <c r="G293" s="319" t="s">
        <v>843</v>
      </c>
      <c r="H293" s="320" t="s">
        <v>1114</v>
      </c>
    </row>
    <row r="294" spans="1:8" ht="15" customHeight="1" x14ac:dyDescent="0.4">
      <c r="A294" s="133"/>
      <c r="B294" s="131">
        <f t="shared" si="9"/>
        <v>290</v>
      </c>
      <c r="C294" s="129" t="str">
        <f t="shared" si="8"/>
        <v>Unité</v>
      </c>
      <c r="D294" s="107"/>
      <c r="E294" s="318"/>
      <c r="F294" s="311" t="s">
        <v>353</v>
      </c>
      <c r="G294" s="319" t="s">
        <v>595</v>
      </c>
      <c r="H294" s="320" t="s">
        <v>1115</v>
      </c>
    </row>
    <row r="295" spans="1:8" ht="15" customHeight="1" x14ac:dyDescent="0.4">
      <c r="A295" s="133"/>
      <c r="B295" s="131">
        <f t="shared" si="9"/>
        <v>291</v>
      </c>
      <c r="C295" s="129" t="str">
        <f t="shared" si="8"/>
        <v>Ø Consommation/an</v>
      </c>
      <c r="D295" s="107"/>
      <c r="E295" s="318"/>
      <c r="F295" s="311" t="s">
        <v>354</v>
      </c>
      <c r="G295" s="319" t="s">
        <v>37</v>
      </c>
      <c r="H295" s="320" t="s">
        <v>1116</v>
      </c>
    </row>
    <row r="296" spans="1:8" ht="15" customHeight="1" x14ac:dyDescent="0.4">
      <c r="A296" s="133"/>
      <c r="B296" s="131">
        <f t="shared" si="9"/>
        <v>292</v>
      </c>
      <c r="C296" s="129" t="str">
        <f t="shared" si="8"/>
        <v>Ø Économies/an</v>
      </c>
      <c r="D296" s="107"/>
      <c r="E296" s="318"/>
      <c r="F296" s="311" t="s">
        <v>1328</v>
      </c>
      <c r="G296" s="319" t="s">
        <v>531</v>
      </c>
      <c r="H296" s="320" t="s">
        <v>1117</v>
      </c>
    </row>
    <row r="297" spans="1:8" ht="15" customHeight="1" x14ac:dyDescent="0.4">
      <c r="A297" s="133"/>
      <c r="B297" s="131">
        <f t="shared" si="9"/>
        <v>293</v>
      </c>
      <c r="C297" s="129" t="str">
        <f t="shared" si="8"/>
        <v>kWh/an</v>
      </c>
      <c r="D297" s="107"/>
      <c r="E297" s="318"/>
      <c r="F297" s="311" t="s">
        <v>251</v>
      </c>
      <c r="G297" s="319" t="s">
        <v>5</v>
      </c>
      <c r="H297" s="320" t="s">
        <v>994</v>
      </c>
    </row>
    <row r="298" spans="1:8" ht="15" customHeight="1" x14ac:dyDescent="0.4">
      <c r="A298" s="133"/>
      <c r="B298" s="131">
        <f t="shared" si="9"/>
        <v>294</v>
      </c>
      <c r="C298" s="129" t="str">
        <f t="shared" si="8"/>
        <v>Consommation totale</v>
      </c>
      <c r="D298" s="107"/>
      <c r="E298" s="318"/>
      <c r="F298" s="311" t="s">
        <v>355</v>
      </c>
      <c r="G298" s="319" t="s">
        <v>841</v>
      </c>
      <c r="H298" s="320" t="s">
        <v>1118</v>
      </c>
    </row>
    <row r="299" spans="1:8" ht="15" customHeight="1" x14ac:dyDescent="0.4">
      <c r="A299" s="133"/>
      <c r="B299" s="131">
        <f t="shared" si="9"/>
        <v>295</v>
      </c>
      <c r="C299" s="129" t="str">
        <f t="shared" si="8"/>
        <v>Ø Durée d'utilisation</v>
      </c>
      <c r="D299" s="107"/>
      <c r="E299" s="318"/>
      <c r="F299" s="311" t="s">
        <v>244</v>
      </c>
      <c r="G299" s="319" t="s">
        <v>837</v>
      </c>
      <c r="H299" s="320" t="s">
        <v>984</v>
      </c>
    </row>
    <row r="300" spans="1:8" ht="15" customHeight="1" x14ac:dyDescent="0.4">
      <c r="A300" s="133"/>
      <c r="B300" s="131">
        <f t="shared" si="9"/>
        <v>296</v>
      </c>
      <c r="C300" s="129" t="str">
        <f t="shared" si="8"/>
        <v>Nombre d'unités</v>
      </c>
      <c r="D300" s="107"/>
      <c r="E300" s="318"/>
      <c r="F300" s="311" t="s">
        <v>356</v>
      </c>
      <c r="G300" s="319" t="s">
        <v>840</v>
      </c>
      <c r="H300" s="320" t="s">
        <v>1119</v>
      </c>
    </row>
    <row r="301" spans="1:8" ht="15" customHeight="1" x14ac:dyDescent="0.4">
      <c r="A301" s="133"/>
      <c r="B301" s="131">
        <f t="shared" si="9"/>
        <v>297</v>
      </c>
      <c r="C301" s="129" t="str">
        <f t="shared" si="8"/>
        <v>Ø Consommation par an</v>
      </c>
      <c r="D301" s="107"/>
      <c r="E301" s="318"/>
      <c r="F301" s="311" t="s">
        <v>357</v>
      </c>
      <c r="G301" s="319" t="s">
        <v>35</v>
      </c>
      <c r="H301" s="320" t="s">
        <v>1120</v>
      </c>
    </row>
    <row r="302" spans="1:8" ht="15" customHeight="1" x14ac:dyDescent="0.4">
      <c r="A302" s="133"/>
      <c r="B302" s="131">
        <f t="shared" si="9"/>
        <v>298</v>
      </c>
      <c r="C302" s="129" t="str">
        <f t="shared" si="8"/>
        <v>Ø Prestation</v>
      </c>
      <c r="D302" s="107"/>
      <c r="E302" s="318"/>
      <c r="F302" s="311" t="s">
        <v>358</v>
      </c>
      <c r="G302" s="319" t="s">
        <v>839</v>
      </c>
      <c r="H302" s="320" t="s">
        <v>1121</v>
      </c>
    </row>
    <row r="303" spans="1:8" ht="15" customHeight="1" x14ac:dyDescent="0.4">
      <c r="A303" s="133"/>
      <c r="B303" s="131">
        <f t="shared" si="9"/>
        <v>299</v>
      </c>
      <c r="C303" s="129" t="str">
        <f t="shared" si="8"/>
        <v>Potentiel d'économie total</v>
      </c>
      <c r="D303" s="107"/>
      <c r="E303" s="318"/>
      <c r="F303" s="311" t="s">
        <v>359</v>
      </c>
      <c r="G303" s="319" t="s">
        <v>844</v>
      </c>
      <c r="H303" s="320" t="s">
        <v>1122</v>
      </c>
    </row>
    <row r="304" spans="1:8" ht="15" customHeight="1" x14ac:dyDescent="0.4">
      <c r="A304" s="133"/>
      <c r="B304" s="131">
        <f t="shared" si="9"/>
        <v>300</v>
      </c>
      <c r="C304" s="129" t="str">
        <f t="shared" si="8"/>
        <v>Total des économies</v>
      </c>
      <c r="D304" s="107"/>
      <c r="E304" s="318"/>
      <c r="F304" s="311" t="s">
        <v>360</v>
      </c>
      <c r="G304" s="319" t="s">
        <v>845</v>
      </c>
      <c r="H304" s="320" t="s">
        <v>1123</v>
      </c>
    </row>
    <row r="305" spans="1:8" ht="15" customHeight="1" x14ac:dyDescent="0.4">
      <c r="A305" s="133"/>
      <c r="B305" s="131">
        <f t="shared" si="9"/>
        <v>301</v>
      </c>
      <c r="C305" s="129" t="str">
        <f t="shared" si="8"/>
        <v>Année</v>
      </c>
      <c r="D305" s="107"/>
      <c r="E305" s="318"/>
      <c r="F305" s="311" t="s">
        <v>534</v>
      </c>
      <c r="G305" s="319" t="s">
        <v>533</v>
      </c>
      <c r="H305" s="320" t="s">
        <v>1124</v>
      </c>
    </row>
    <row r="306" spans="1:8" ht="15" customHeight="1" x14ac:dyDescent="0.4">
      <c r="A306" s="133"/>
      <c r="B306" s="131">
        <f t="shared" si="9"/>
        <v>302</v>
      </c>
      <c r="C306" s="129" t="str">
        <f t="shared" si="8"/>
        <v>Année 1</v>
      </c>
      <c r="D306" s="107"/>
      <c r="E306" s="318"/>
      <c r="F306" s="311" t="s">
        <v>361</v>
      </c>
      <c r="G306" s="319" t="s">
        <v>592</v>
      </c>
      <c r="H306" s="320" t="s">
        <v>1125</v>
      </c>
    </row>
    <row r="307" spans="1:8" ht="15" customHeight="1" x14ac:dyDescent="0.4">
      <c r="A307" s="133"/>
      <c r="B307" s="131">
        <f t="shared" si="9"/>
        <v>303</v>
      </c>
      <c r="C307" s="129" t="str">
        <f t="shared" si="8"/>
        <v>Année 2</v>
      </c>
      <c r="D307" s="107"/>
      <c r="E307" s="318"/>
      <c r="F307" s="311" t="s">
        <v>362</v>
      </c>
      <c r="G307" s="319" t="s">
        <v>593</v>
      </c>
      <c r="H307" s="320" t="s">
        <v>1126</v>
      </c>
    </row>
    <row r="308" spans="1:8" ht="15" customHeight="1" x14ac:dyDescent="0.4">
      <c r="A308" s="133"/>
      <c r="B308" s="131">
        <f t="shared" si="9"/>
        <v>304</v>
      </c>
      <c r="C308" s="129" t="str">
        <f t="shared" si="8"/>
        <v>Année 3</v>
      </c>
      <c r="D308" s="107"/>
      <c r="E308" s="318"/>
      <c r="F308" s="311" t="s">
        <v>363</v>
      </c>
      <c r="G308" s="319" t="s">
        <v>594</v>
      </c>
      <c r="H308" s="320" t="s">
        <v>1127</v>
      </c>
    </row>
    <row r="309" spans="1:8" ht="15" customHeight="1" x14ac:dyDescent="0.4">
      <c r="A309" s="133"/>
      <c r="B309" s="131">
        <f t="shared" si="9"/>
        <v>305</v>
      </c>
      <c r="C309" s="129" t="str">
        <f t="shared" si="8"/>
        <v>Contributions variables Année 1</v>
      </c>
      <c r="D309" s="107"/>
      <c r="E309" s="318"/>
      <c r="F309" s="311" t="s">
        <v>364</v>
      </c>
      <c r="G309" s="319" t="s">
        <v>39</v>
      </c>
      <c r="H309" s="320" t="s">
        <v>1128</v>
      </c>
    </row>
    <row r="310" spans="1:8" ht="15" customHeight="1" x14ac:dyDescent="0.4">
      <c r="A310" s="133"/>
      <c r="B310" s="131">
        <f t="shared" si="9"/>
        <v>306</v>
      </c>
      <c r="C310" s="129" t="str">
        <f t="shared" si="8"/>
        <v>Contributions variables Année 2</v>
      </c>
      <c r="D310" s="107"/>
      <c r="E310" s="318"/>
      <c r="F310" s="311" t="s">
        <v>365</v>
      </c>
      <c r="G310" s="319" t="s">
        <v>40</v>
      </c>
      <c r="H310" s="320" t="s">
        <v>1129</v>
      </c>
    </row>
    <row r="311" spans="1:8" ht="15" customHeight="1" x14ac:dyDescent="0.4">
      <c r="A311" s="133"/>
      <c r="B311" s="131">
        <f t="shared" si="9"/>
        <v>307</v>
      </c>
      <c r="C311" s="129" t="str">
        <f t="shared" si="8"/>
        <v>Contributions variables Année 3</v>
      </c>
      <c r="D311" s="107"/>
      <c r="E311" s="318"/>
      <c r="F311" s="311" t="s">
        <v>366</v>
      </c>
      <c r="G311" s="319" t="s">
        <v>41</v>
      </c>
      <c r="H311" s="320" t="s">
        <v>1130</v>
      </c>
    </row>
    <row r="312" spans="1:8" ht="15" customHeight="1" x14ac:dyDescent="0.4">
      <c r="A312" s="133"/>
      <c r="B312" s="131">
        <f t="shared" si="9"/>
        <v>308</v>
      </c>
      <c r="C312" s="129" t="str">
        <f t="shared" si="8"/>
        <v>Total des contributions variables au programme</v>
      </c>
      <c r="D312" s="107"/>
      <c r="E312" s="318"/>
      <c r="F312" s="311" t="s">
        <v>367</v>
      </c>
      <c r="G312" s="319" t="s">
        <v>42</v>
      </c>
      <c r="H312" s="320" t="s">
        <v>1131</v>
      </c>
    </row>
    <row r="313" spans="1:8" ht="15" customHeight="1" x14ac:dyDescent="0.4">
      <c r="A313" s="133"/>
      <c r="B313" s="131">
        <f t="shared" si="9"/>
        <v>309</v>
      </c>
      <c r="C313" s="129" t="str">
        <f t="shared" si="8"/>
        <v xml:space="preserve">Contributions variables au programme / à l'application </v>
      </c>
      <c r="D313" s="107"/>
      <c r="E313" s="318"/>
      <c r="F313" s="311" t="s">
        <v>368</v>
      </c>
      <c r="G313" s="319" t="s">
        <v>43</v>
      </c>
      <c r="H313" s="320" t="s">
        <v>1132</v>
      </c>
    </row>
    <row r="314" spans="1:8" ht="15" customHeight="1" x14ac:dyDescent="0.4">
      <c r="A314" s="133"/>
      <c r="B314" s="131">
        <f t="shared" si="9"/>
        <v>310</v>
      </c>
      <c r="C314" s="129" t="str">
        <f t="shared" si="8"/>
        <v>Contribution financière / application</v>
      </c>
      <c r="D314" s="107"/>
      <c r="E314" s="318"/>
      <c r="F314" s="311" t="s">
        <v>369</v>
      </c>
      <c r="G314" s="319" t="s">
        <v>44</v>
      </c>
      <c r="H314" s="320" t="s">
        <v>1133</v>
      </c>
    </row>
    <row r="315" spans="1:8" ht="15" customHeight="1" x14ac:dyDescent="0.4">
      <c r="A315" s="133"/>
      <c r="B315" s="131">
        <f t="shared" si="9"/>
        <v>311</v>
      </c>
      <c r="C315" s="129" t="str">
        <f t="shared" si="8"/>
        <v>pièce</v>
      </c>
      <c r="D315" s="107"/>
      <c r="E315" s="318"/>
      <c r="F315" s="311" t="s">
        <v>370</v>
      </c>
      <c r="G315" s="319" t="s">
        <v>838</v>
      </c>
      <c r="H315" s="320" t="s">
        <v>1134</v>
      </c>
    </row>
    <row r="316" spans="1:8" ht="15" customHeight="1" x14ac:dyDescent="0.4">
      <c r="A316" s="133"/>
      <c r="B316" s="131">
        <f t="shared" si="9"/>
        <v>312</v>
      </c>
      <c r="C316" s="129" t="str">
        <f t="shared" si="8"/>
        <v>L'explication quantitative de l'évolution de référence, du potentiel d'économie et des contributions mises à disposition dans le cadre des appels d'offres publics s'effectue ici.</v>
      </c>
      <c r="D316" s="107"/>
      <c r="E316" s="318"/>
      <c r="F316" s="311" t="s">
        <v>372</v>
      </c>
      <c r="G316" s="319" t="s">
        <v>137</v>
      </c>
      <c r="H316" s="320" t="s">
        <v>1135</v>
      </c>
    </row>
    <row r="317" spans="1:8" ht="15" customHeight="1" x14ac:dyDescent="0.4">
      <c r="A317" s="133"/>
      <c r="B317" s="131">
        <f t="shared" si="9"/>
        <v>313</v>
      </c>
      <c r="C317" s="129" t="str">
        <f t="shared" si="8"/>
        <v>Indication du tarif moyen de l'électricité utilisé pour le calcul des coûts énergétiques.</v>
      </c>
      <c r="D317" s="107"/>
      <c r="E317" s="318"/>
      <c r="F317" s="311" t="s">
        <v>373</v>
      </c>
      <c r="G317" s="319" t="s">
        <v>846</v>
      </c>
      <c r="H317" s="320" t="s">
        <v>1136</v>
      </c>
    </row>
    <row r="318" spans="1:8" ht="15" customHeight="1" x14ac:dyDescent="0.4">
      <c r="A318" s="133"/>
      <c r="B318" s="131">
        <f t="shared" si="9"/>
        <v>314</v>
      </c>
      <c r="C318" s="129" t="str">
        <f t="shared" si="8"/>
        <v>Inscription de la durée d'utilisation moyenne de l'application concernée</v>
      </c>
      <c r="D318" s="107"/>
      <c r="E318" s="318"/>
      <c r="F318" s="311" t="s">
        <v>374</v>
      </c>
      <c r="G318" s="319" t="s">
        <v>36</v>
      </c>
      <c r="H318" s="320" t="s">
        <v>1137</v>
      </c>
    </row>
    <row r="319" spans="1:8" ht="15" customHeight="1" x14ac:dyDescent="0.4">
      <c r="A319" s="133"/>
      <c r="B319" s="131">
        <f t="shared" si="9"/>
        <v>315</v>
      </c>
      <c r="C319" s="129" t="str">
        <f t="shared" si="8"/>
        <v>Indication de la consommation moyenne par application et par an</v>
      </c>
      <c r="D319" s="107"/>
      <c r="E319" s="318"/>
      <c r="F319" s="311" t="s">
        <v>1322</v>
      </c>
      <c r="G319" s="319" t="s">
        <v>1324</v>
      </c>
      <c r="H319" s="320" t="s">
        <v>1323</v>
      </c>
    </row>
    <row r="320" spans="1:8" ht="15" customHeight="1" x14ac:dyDescent="0.4">
      <c r="A320" s="133"/>
      <c r="B320" s="131">
        <f t="shared" si="9"/>
        <v>316</v>
      </c>
      <c r="C320" s="129" t="str">
        <f t="shared" si="8"/>
        <v>Indication du nombre d'applications sur lesquelles doit agir le programme</v>
      </c>
      <c r="D320" s="107"/>
      <c r="E320" s="318"/>
      <c r="F320" s="311" t="s">
        <v>1325</v>
      </c>
      <c r="G320" s="319" t="s">
        <v>1326</v>
      </c>
      <c r="H320" s="320" t="s">
        <v>1327</v>
      </c>
    </row>
    <row r="321" spans="1:8" ht="15" customHeight="1" x14ac:dyDescent="0.4">
      <c r="A321" s="133"/>
      <c r="B321" s="131">
        <f t="shared" si="9"/>
        <v>317</v>
      </c>
      <c r="C321" s="129" t="str">
        <f t="shared" si="8"/>
        <v>Indication de l'évolution de la consommation sans programme par an et sur toute la durée d'utilisation de l'application</v>
      </c>
      <c r="D321" s="107"/>
      <c r="E321" s="318"/>
      <c r="F321" s="311" t="s">
        <v>375</v>
      </c>
      <c r="G321" s="319" t="s">
        <v>96</v>
      </c>
      <c r="H321" s="320" t="s">
        <v>1138</v>
      </c>
    </row>
    <row r="322" spans="1:8" ht="15" customHeight="1" x14ac:dyDescent="0.4">
      <c r="A322" s="133"/>
      <c r="B322" s="131">
        <f t="shared" si="9"/>
        <v>318</v>
      </c>
      <c r="C322" s="129" t="str">
        <f t="shared" si="8"/>
        <v>Indication de l'évolution de la consommation avec le programme par an et sur toute la durée d'utilisation de l'application</v>
      </c>
      <c r="D322" s="107"/>
      <c r="E322" s="318"/>
      <c r="F322" s="311" t="s">
        <v>376</v>
      </c>
      <c r="G322" s="319" t="s">
        <v>97</v>
      </c>
      <c r="H322" s="320" t="s">
        <v>1139</v>
      </c>
    </row>
    <row r="323" spans="1:8" ht="15" customHeight="1" x14ac:dyDescent="0.4">
      <c r="A323" s="133"/>
      <c r="B323" s="131">
        <f t="shared" si="9"/>
        <v>319</v>
      </c>
      <c r="C323" s="129" t="str">
        <f t="shared" si="8"/>
        <v>Répartition des économies prévues sur la durée du programme</v>
      </c>
      <c r="D323" s="107"/>
      <c r="E323" s="318"/>
      <c r="F323" s="311" t="s">
        <v>897</v>
      </c>
      <c r="G323" s="319" t="s">
        <v>1361</v>
      </c>
      <c r="H323" s="320" t="s">
        <v>1140</v>
      </c>
    </row>
    <row r="324" spans="1:8" ht="15" customHeight="1" x14ac:dyDescent="0.4">
      <c r="A324" s="133"/>
      <c r="B324" s="131">
        <f t="shared" si="9"/>
        <v>320</v>
      </c>
      <c r="C324" s="129" t="str">
        <f t="shared" si="8"/>
        <v>Indication de la contribution variable du programme par application (prestation principale)</v>
      </c>
      <c r="D324" s="107"/>
      <c r="E324" s="318"/>
      <c r="F324" s="311" t="s">
        <v>463</v>
      </c>
      <c r="G324" s="319" t="s">
        <v>452</v>
      </c>
      <c r="H324" s="320" t="s">
        <v>1141</v>
      </c>
    </row>
    <row r="325" spans="1:8" ht="15" customHeight="1" x14ac:dyDescent="0.4">
      <c r="A325" s="133"/>
      <c r="B325" s="131">
        <f t="shared" si="9"/>
        <v>321</v>
      </c>
      <c r="C325" s="129" t="str">
        <f t="shared" ref="C325:C388" si="10">IF($B$1="f",F325,IF($B$1="d",G325,H325))</f>
        <v>Nombre d'applications mises en œuvre prévues au cours de la première année du programme</v>
      </c>
      <c r="D325" s="107"/>
      <c r="E325" s="318"/>
      <c r="F325" s="311" t="s">
        <v>377</v>
      </c>
      <c r="G325" s="319" t="s">
        <v>138</v>
      </c>
      <c r="H325" s="320" t="s">
        <v>1142</v>
      </c>
    </row>
    <row r="326" spans="1:8" ht="15" customHeight="1" x14ac:dyDescent="0.4">
      <c r="A326" s="133"/>
      <c r="B326" s="131">
        <f t="shared" ref="B326:B389" si="11">B325+1</f>
        <v>322</v>
      </c>
      <c r="C326" s="129" t="str">
        <f t="shared" si="10"/>
        <v>Nombre d'applications mises en œuvre prévues au cours de la deuxième année du programme</v>
      </c>
      <c r="D326" s="107"/>
      <c r="E326" s="318"/>
      <c r="F326" s="311" t="s">
        <v>378</v>
      </c>
      <c r="G326" s="319" t="s">
        <v>139</v>
      </c>
      <c r="H326" s="320" t="s">
        <v>1143</v>
      </c>
    </row>
    <row r="327" spans="1:8" ht="15" customHeight="1" x14ac:dyDescent="0.4">
      <c r="A327" s="133"/>
      <c r="B327" s="131">
        <f t="shared" si="11"/>
        <v>323</v>
      </c>
      <c r="C327" s="129" t="str">
        <f t="shared" si="10"/>
        <v>Nombre d'applications mises en œuvre prévues au cours de la troisième année du programme</v>
      </c>
      <c r="D327" s="107"/>
      <c r="E327" s="318"/>
      <c r="F327" s="311" t="s">
        <v>379</v>
      </c>
      <c r="G327" s="319" t="s">
        <v>140</v>
      </c>
      <c r="H327" s="320" t="s">
        <v>1144</v>
      </c>
    </row>
    <row r="328" spans="1:8" ht="15" customHeight="1" x14ac:dyDescent="0.4">
      <c r="A328" s="133"/>
      <c r="B328" s="131">
        <f t="shared" si="11"/>
        <v>324</v>
      </c>
      <c r="C328" s="129" t="str">
        <f t="shared" si="10"/>
        <v>Nombre d'applications mises en œuvre au cours de la première année du programme</v>
      </c>
      <c r="D328" s="107"/>
      <c r="E328" s="318"/>
      <c r="F328" s="311" t="s">
        <v>380</v>
      </c>
      <c r="G328" s="319" t="s">
        <v>141</v>
      </c>
      <c r="H328" s="320" t="s">
        <v>1145</v>
      </c>
    </row>
    <row r="329" spans="1:8" ht="15" customHeight="1" x14ac:dyDescent="0.4">
      <c r="A329" s="133"/>
      <c r="B329" s="131">
        <f t="shared" si="11"/>
        <v>325</v>
      </c>
      <c r="C329" s="129" t="str">
        <f t="shared" si="10"/>
        <v>Nombre d'applications mises en œuvre au cours de la deuxième année du programme</v>
      </c>
      <c r="D329" s="107"/>
      <c r="E329" s="318"/>
      <c r="F329" s="311" t="s">
        <v>381</v>
      </c>
      <c r="G329" s="319" t="s">
        <v>142</v>
      </c>
      <c r="H329" s="320" t="s">
        <v>1146</v>
      </c>
    </row>
    <row r="330" spans="1:8" ht="15" customHeight="1" x14ac:dyDescent="0.4">
      <c r="A330" s="133"/>
      <c r="B330" s="131">
        <f t="shared" si="11"/>
        <v>326</v>
      </c>
      <c r="C330" s="129" t="str">
        <f t="shared" si="10"/>
        <v>Nombre d'applications mises en œuvre au cours de la troisième année du programme</v>
      </c>
      <c r="D330" s="107"/>
      <c r="E330" s="318"/>
      <c r="F330" s="311" t="s">
        <v>382</v>
      </c>
      <c r="G330" s="319" t="s">
        <v>143</v>
      </c>
      <c r="H330" s="320" t="s">
        <v>1147</v>
      </c>
    </row>
    <row r="331" spans="1:8" ht="15" customHeight="1" x14ac:dyDescent="0.4">
      <c r="A331" s="133"/>
      <c r="B331" s="131">
        <f t="shared" si="11"/>
        <v>327</v>
      </c>
      <c r="C331" s="129" t="str">
        <f t="shared" si="10"/>
        <v>Total des contributions variables du programme aux applications mises en œuvre</v>
      </c>
      <c r="D331" s="107"/>
      <c r="E331" s="318"/>
      <c r="F331" s="311" t="s">
        <v>383</v>
      </c>
      <c r="G331" s="319" t="s">
        <v>98</v>
      </c>
      <c r="H331" s="320" t="s">
        <v>1148</v>
      </c>
    </row>
    <row r="332" spans="1:8" ht="15" customHeight="1" x14ac:dyDescent="0.4">
      <c r="A332" s="133"/>
      <c r="B332" s="131">
        <f t="shared" si="11"/>
        <v>328</v>
      </c>
      <c r="C332" s="129">
        <f t="shared" si="10"/>
        <v>0</v>
      </c>
      <c r="D332" s="107"/>
      <c r="E332" s="318"/>
      <c r="F332" s="311"/>
      <c r="G332" s="319"/>
      <c r="H332" s="320"/>
    </row>
    <row r="333" spans="1:8" ht="15" customHeight="1" x14ac:dyDescent="0.4">
      <c r="A333" s="133"/>
      <c r="B333" s="131">
        <f t="shared" si="11"/>
        <v>329</v>
      </c>
      <c r="C333" s="129">
        <f t="shared" si="10"/>
        <v>0</v>
      </c>
      <c r="D333" s="107"/>
      <c r="E333" s="318"/>
      <c r="F333" s="311"/>
      <c r="G333" s="319"/>
      <c r="H333" s="320"/>
    </row>
    <row r="334" spans="1:8" ht="15" customHeight="1" x14ac:dyDescent="0.4">
      <c r="A334" s="130" t="s">
        <v>781</v>
      </c>
      <c r="B334" s="131">
        <f t="shared" si="11"/>
        <v>330</v>
      </c>
      <c r="C334" s="129">
        <f t="shared" si="10"/>
        <v>0</v>
      </c>
      <c r="D334" s="107"/>
      <c r="E334" s="318"/>
      <c r="F334" s="311"/>
      <c r="G334" s="319"/>
      <c r="H334" s="320"/>
    </row>
    <row r="335" spans="1:8" ht="15" customHeight="1" x14ac:dyDescent="0.4">
      <c r="A335" s="133"/>
      <c r="B335" s="131">
        <f t="shared" si="11"/>
        <v>331</v>
      </c>
      <c r="C335" s="129" t="str">
        <f t="shared" si="10"/>
        <v>Mise en œuvre du programme (résumé)</v>
      </c>
      <c r="D335" s="107"/>
      <c r="E335" s="318"/>
      <c r="F335" s="311" t="s">
        <v>384</v>
      </c>
      <c r="G335" s="319" t="s">
        <v>60</v>
      </c>
      <c r="H335" s="320" t="s">
        <v>1149</v>
      </c>
    </row>
    <row r="336" spans="1:8" ht="15" customHeight="1" x14ac:dyDescent="0.4">
      <c r="A336" s="133"/>
      <c r="B336" s="131">
        <f t="shared" si="11"/>
        <v>332</v>
      </c>
      <c r="C336" s="129" t="str">
        <f t="shared" si="10"/>
        <v>Concept de communication (résumé)</v>
      </c>
      <c r="D336" s="107"/>
      <c r="E336" s="318"/>
      <c r="F336" s="311" t="s">
        <v>385</v>
      </c>
      <c r="G336" s="319" t="s">
        <v>61</v>
      </c>
      <c r="H336" s="320" t="s">
        <v>1150</v>
      </c>
    </row>
    <row r="337" spans="1:8" ht="15" customHeight="1" x14ac:dyDescent="0.4">
      <c r="A337" s="133"/>
      <c r="B337" s="131">
        <f t="shared" si="11"/>
        <v>333</v>
      </c>
      <c r="C337" s="129" t="str">
        <f t="shared" si="10"/>
        <v>Monitorage</v>
      </c>
      <c r="D337" s="107"/>
      <c r="E337" s="318"/>
      <c r="F337" s="311" t="s">
        <v>386</v>
      </c>
      <c r="G337" s="319" t="s">
        <v>602</v>
      </c>
      <c r="H337" s="320" t="s">
        <v>1151</v>
      </c>
    </row>
    <row r="338" spans="1:8" ht="15" customHeight="1" x14ac:dyDescent="0.4">
      <c r="A338" s="133" t="s">
        <v>637</v>
      </c>
      <c r="B338" s="131">
        <f t="shared" si="11"/>
        <v>334</v>
      </c>
      <c r="C338" s="129" t="str">
        <f t="shared" si="10"/>
        <v>Comment la mise en œuvre du programme est-elle organisée ?</v>
      </c>
      <c r="D338" s="107"/>
      <c r="E338" s="318"/>
      <c r="F338" s="311" t="s">
        <v>387</v>
      </c>
      <c r="G338" s="319" t="s">
        <v>62</v>
      </c>
      <c r="H338" s="320" t="s">
        <v>1152</v>
      </c>
    </row>
    <row r="339" spans="1:8" ht="15" customHeight="1" x14ac:dyDescent="0.4">
      <c r="A339" s="133" t="s">
        <v>706</v>
      </c>
      <c r="B339" s="131">
        <f t="shared" si="11"/>
        <v>335</v>
      </c>
      <c r="C339" s="129" t="str">
        <f t="shared" si="10"/>
        <v>Quelles mesures a-t-on prévues pour faire connaître le programme ou pour atteindre le public cible ?</v>
      </c>
      <c r="D339" s="107"/>
      <c r="E339" s="318"/>
      <c r="F339" s="311" t="s">
        <v>388</v>
      </c>
      <c r="G339" s="319" t="s">
        <v>158</v>
      </c>
      <c r="H339" s="320" t="s">
        <v>1153</v>
      </c>
    </row>
    <row r="340" spans="1:8" ht="15" customHeight="1" x14ac:dyDescent="0.4">
      <c r="A340" s="133" t="s">
        <v>707</v>
      </c>
      <c r="B340" s="131">
        <f t="shared" si="11"/>
        <v>336</v>
      </c>
      <c r="C340" s="129" t="str">
        <f t="shared" si="10"/>
        <v>Comment est-il prévu de saisir les mesures réalisées par le client final et de calculer la consommation d'électricité correspondante ?</v>
      </c>
      <c r="D340" s="107"/>
      <c r="E340" s="318"/>
      <c r="F340" s="311" t="s">
        <v>389</v>
      </c>
      <c r="G340" s="319" t="s">
        <v>8</v>
      </c>
      <c r="H340" s="320" t="s">
        <v>1154</v>
      </c>
    </row>
    <row r="341" spans="1:8" ht="15" customHeight="1" x14ac:dyDescent="0.4">
      <c r="A341" s="133" t="s">
        <v>743</v>
      </c>
      <c r="B341" s="131">
        <f t="shared" si="11"/>
        <v>337</v>
      </c>
      <c r="C341" s="129" t="str">
        <f t="shared" si="10"/>
        <v>Comment est-il prévu de contrôler l'évolution de référence en fonction des économies réalisées et au besoin de l'adapter ?</v>
      </c>
      <c r="D341" s="107"/>
      <c r="E341" s="318"/>
      <c r="F341" s="311" t="s">
        <v>390</v>
      </c>
      <c r="G341" s="319" t="s">
        <v>806</v>
      </c>
      <c r="H341" s="320" t="s">
        <v>1155</v>
      </c>
    </row>
    <row r="342" spans="1:8" ht="15" customHeight="1" x14ac:dyDescent="0.4">
      <c r="A342" s="133" t="s">
        <v>729</v>
      </c>
      <c r="B342" s="131">
        <f t="shared" si="11"/>
        <v>338</v>
      </c>
      <c r="C342" s="129" t="str">
        <f t="shared" si="10"/>
        <v>Annexe comprenant les détails de la mise en œuvre du programme avec description des structures, processus, instruments et outils, ainsi qu'un calendrier du projet</v>
      </c>
      <c r="D342" s="107"/>
      <c r="E342" s="318"/>
      <c r="F342" s="311" t="s">
        <v>391</v>
      </c>
      <c r="G342" s="319" t="s">
        <v>64</v>
      </c>
      <c r="H342" s="320" t="s">
        <v>1156</v>
      </c>
    </row>
    <row r="343" spans="1:8" ht="15" customHeight="1" x14ac:dyDescent="0.4">
      <c r="A343" s="133" t="s">
        <v>722</v>
      </c>
      <c r="B343" s="131">
        <f t="shared" si="11"/>
        <v>339</v>
      </c>
      <c r="C343" s="129" t="str">
        <f t="shared" si="10"/>
        <v>Court résumé et renvoi à l'annexe:
Annexe : Concept de communication comprenant toutes les mesures de communication et de marketing prévues</v>
      </c>
      <c r="D343" s="107"/>
      <c r="E343" s="318"/>
      <c r="F343" s="311" t="s">
        <v>464</v>
      </c>
      <c r="G343" s="319" t="s">
        <v>448</v>
      </c>
      <c r="H343" s="320" t="s">
        <v>1157</v>
      </c>
    </row>
    <row r="344" spans="1:8" ht="15" customHeight="1" x14ac:dyDescent="0.4">
      <c r="A344" s="133" t="s">
        <v>723</v>
      </c>
      <c r="B344" s="131">
        <f t="shared" si="11"/>
        <v>340</v>
      </c>
      <c r="C344" s="129" t="str">
        <f t="shared" si="10"/>
        <v>Montrer comment et à l'aide de quels outils seront saisis dans une première étape les activités du programme, les utilisateurs finaux atteints et les mesures d'efficacité prises par les clients finaux et comment sera calculée la consommation d'électricité correspondante. (Faire référence aux annexes si existantes)</v>
      </c>
      <c r="D344" s="107"/>
      <c r="E344" s="318"/>
      <c r="F344" s="311" t="s">
        <v>465</v>
      </c>
      <c r="G344" s="319" t="s">
        <v>449</v>
      </c>
      <c r="H344" s="320" t="s">
        <v>1158</v>
      </c>
    </row>
    <row r="345" spans="1:8" ht="15" customHeight="1" x14ac:dyDescent="0.4">
      <c r="A345" s="133"/>
      <c r="B345" s="131">
        <f t="shared" si="11"/>
        <v>341</v>
      </c>
      <c r="C345" s="129" t="str">
        <f t="shared" si="10"/>
        <v>Montrer comment sera contrôlée l'évolution de référence définie préalablement et le cas échéant comment seront adaptées les principales hypothèses (notamment concernant les paramètres quantitatifs, l'évolution technique ou le comportement des clients finaux). Voir les conditions pour la soumission des projets et programmes en 2015, chapitre 3.2, (faire référence aux annexes si existantes).</v>
      </c>
      <c r="D345" s="107"/>
      <c r="E345" s="318"/>
      <c r="F345" s="311" t="s">
        <v>1621</v>
      </c>
      <c r="G345" s="319" t="s">
        <v>1622</v>
      </c>
      <c r="H345" s="320" t="s">
        <v>1623</v>
      </c>
    </row>
    <row r="346" spans="1:8" ht="15" customHeight="1" x14ac:dyDescent="0.4">
      <c r="A346" s="133"/>
      <c r="B346" s="131">
        <f t="shared" si="11"/>
        <v>342</v>
      </c>
      <c r="C346" s="129" t="str">
        <f t="shared" si="10"/>
        <v>Description de la mise en œuvre du programme et de la communication</v>
      </c>
      <c r="D346" s="107"/>
      <c r="E346" s="318"/>
      <c r="F346" s="311" t="s">
        <v>392</v>
      </c>
      <c r="G346" s="319" t="s">
        <v>63</v>
      </c>
      <c r="H346" s="320" t="s">
        <v>1159</v>
      </c>
    </row>
    <row r="347" spans="1:8" ht="15" customHeight="1" x14ac:dyDescent="0.4">
      <c r="A347" s="133"/>
      <c r="B347" s="131">
        <f t="shared" si="11"/>
        <v>343</v>
      </c>
      <c r="C347" s="129">
        <f t="shared" si="10"/>
        <v>0</v>
      </c>
      <c r="D347" s="107"/>
      <c r="E347" s="318"/>
      <c r="F347" s="311"/>
      <c r="G347" s="319"/>
      <c r="H347" s="320"/>
    </row>
    <row r="348" spans="1:8" ht="15" customHeight="1" x14ac:dyDescent="0.4">
      <c r="A348" s="130" t="s">
        <v>45</v>
      </c>
      <c r="B348" s="131">
        <f t="shared" si="11"/>
        <v>344</v>
      </c>
      <c r="C348" s="129" t="str">
        <f t="shared" si="10"/>
        <v>Coûts</v>
      </c>
      <c r="D348" s="107"/>
      <c r="E348" s="318"/>
      <c r="F348" s="311" t="s">
        <v>879</v>
      </c>
      <c r="G348" s="319" t="s">
        <v>371</v>
      </c>
      <c r="H348" s="320" t="s">
        <v>1160</v>
      </c>
    </row>
    <row r="349" spans="1:8" ht="15" customHeight="1" x14ac:dyDescent="0.4">
      <c r="A349" s="133"/>
      <c r="B349" s="131">
        <f t="shared" si="11"/>
        <v>345</v>
      </c>
      <c r="C349" s="129" t="str">
        <f t="shared" si="10"/>
        <v>Établissement d'un budget détaillé sur toute la durée du programme avec des indications concernant les différentes activités (gestion du programme, communication, financement des mesures prévues par le programme) en annexe de la demande.
Consignez les données et les chiffres clés du budget dans les champs ci-dessous resp. dans le tableau 9.</v>
      </c>
      <c r="D349" s="107"/>
      <c r="E349" s="318"/>
      <c r="F349" s="311" t="s">
        <v>1288</v>
      </c>
      <c r="G349" s="319" t="s">
        <v>1289</v>
      </c>
      <c r="H349" s="320" t="s">
        <v>1161</v>
      </c>
    </row>
    <row r="350" spans="1:8" ht="15" customHeight="1" x14ac:dyDescent="0.4">
      <c r="A350" s="133"/>
      <c r="B350" s="131">
        <f t="shared" si="11"/>
        <v>346</v>
      </c>
      <c r="C350" s="129" t="str">
        <f t="shared" si="10"/>
        <v>Gestion du programme</v>
      </c>
      <c r="D350" s="107"/>
      <c r="E350" s="318"/>
      <c r="F350" s="311" t="s">
        <v>393</v>
      </c>
      <c r="G350" s="319" t="s">
        <v>1340</v>
      </c>
      <c r="H350" s="320" t="s">
        <v>1162</v>
      </c>
    </row>
    <row r="351" spans="1:8" ht="15" customHeight="1" x14ac:dyDescent="0.4">
      <c r="A351" s="133"/>
      <c r="B351" s="131">
        <f t="shared" si="11"/>
        <v>347</v>
      </c>
      <c r="C351" s="129" t="str">
        <f t="shared" si="10"/>
        <v>Communication du programme</v>
      </c>
      <c r="D351" s="107"/>
      <c r="E351" s="318"/>
      <c r="F351" s="311" t="s">
        <v>1313</v>
      </c>
      <c r="G351" s="319" t="s">
        <v>1351</v>
      </c>
      <c r="H351" s="320" t="s">
        <v>1316</v>
      </c>
    </row>
    <row r="352" spans="1:8" ht="15" customHeight="1" x14ac:dyDescent="0.4">
      <c r="A352" s="133"/>
      <c r="B352" s="131">
        <f t="shared" si="11"/>
        <v>348</v>
      </c>
      <c r="C352" s="129" t="str">
        <f t="shared" si="10"/>
        <v>Mesures</v>
      </c>
      <c r="D352" s="107"/>
      <c r="E352" s="318"/>
      <c r="F352" s="311" t="s">
        <v>394</v>
      </c>
      <c r="G352" s="319" t="s">
        <v>46</v>
      </c>
      <c r="H352" s="320" t="s">
        <v>1163</v>
      </c>
    </row>
    <row r="353" spans="1:8" ht="15" customHeight="1" x14ac:dyDescent="0.4">
      <c r="A353" s="133"/>
      <c r="B353" s="131">
        <f t="shared" si="11"/>
        <v>349</v>
      </c>
      <c r="C353" s="129" t="str">
        <f t="shared" si="10"/>
        <v>Contributions variables du programme (8.2)</v>
      </c>
      <c r="D353" s="107"/>
      <c r="E353" s="318"/>
      <c r="F353" s="311" t="s">
        <v>456</v>
      </c>
      <c r="G353" s="319" t="s">
        <v>457</v>
      </c>
      <c r="H353" s="320" t="s">
        <v>1164</v>
      </c>
    </row>
    <row r="354" spans="1:8" ht="15" customHeight="1" x14ac:dyDescent="0.4">
      <c r="A354" s="133"/>
      <c r="B354" s="131">
        <f t="shared" si="11"/>
        <v>350</v>
      </c>
      <c r="C354" s="129" t="str">
        <f t="shared" si="10"/>
        <v>Coûts totaux</v>
      </c>
      <c r="D354" s="107"/>
      <c r="E354" s="318"/>
      <c r="F354" s="311" t="s">
        <v>395</v>
      </c>
      <c r="G354" s="319" t="s">
        <v>847</v>
      </c>
      <c r="H354" s="320" t="s">
        <v>1165</v>
      </c>
    </row>
    <row r="355" spans="1:8" ht="15" customHeight="1" x14ac:dyDescent="0.4">
      <c r="A355" s="133"/>
      <c r="B355" s="131">
        <f t="shared" si="11"/>
        <v>351</v>
      </c>
      <c r="C355" s="129" t="str">
        <f t="shared" si="10"/>
        <v>Coûts relatifs à la gestion du programme (dépense de l'organisme porteur du programme)</v>
      </c>
      <c r="D355" s="107"/>
      <c r="E355" s="318"/>
      <c r="F355" s="311" t="s">
        <v>1458</v>
      </c>
      <c r="G355" s="319" t="s">
        <v>1409</v>
      </c>
      <c r="H355" s="320" t="s">
        <v>1459</v>
      </c>
    </row>
    <row r="356" spans="1:8" ht="15" customHeight="1" x14ac:dyDescent="0.4">
      <c r="A356" s="133"/>
      <c r="B356" s="131">
        <f t="shared" si="11"/>
        <v>352</v>
      </c>
      <c r="C356" s="129" t="str">
        <f t="shared" si="10"/>
        <v>Coûts relatifs aux mesures de marketing et de communication conformément au concept de communication</v>
      </c>
      <c r="D356" s="107"/>
      <c r="E356" s="318"/>
      <c r="F356" s="311" t="s">
        <v>396</v>
      </c>
      <c r="G356" s="319" t="s">
        <v>99</v>
      </c>
      <c r="H356" s="320" t="s">
        <v>1166</v>
      </c>
    </row>
    <row r="357" spans="1:8" ht="15" customHeight="1" x14ac:dyDescent="0.4">
      <c r="A357" s="133"/>
      <c r="B357" s="131">
        <f t="shared" si="11"/>
        <v>353</v>
      </c>
      <c r="C357" s="129" t="str">
        <f t="shared" si="10"/>
        <v>Autres prestations complémentaires éventuelles visant à éliminer des entraves</v>
      </c>
      <c r="D357" s="107"/>
      <c r="E357" s="318"/>
      <c r="F357" s="311" t="s">
        <v>466</v>
      </c>
      <c r="G357" s="319" t="s">
        <v>454</v>
      </c>
      <c r="H357" s="320" t="s">
        <v>1167</v>
      </c>
    </row>
    <row r="358" spans="1:8" ht="15" customHeight="1" x14ac:dyDescent="0.4">
      <c r="A358" s="133"/>
      <c r="B358" s="131">
        <f t="shared" si="11"/>
        <v>354</v>
      </c>
      <c r="C358" s="129" t="str">
        <f t="shared" si="10"/>
        <v>Contributions variables à des applications mises en œuvre dans le cadre du programme</v>
      </c>
      <c r="D358" s="107"/>
      <c r="E358" s="318"/>
      <c r="F358" s="311" t="s">
        <v>397</v>
      </c>
      <c r="G358" s="319" t="s">
        <v>151</v>
      </c>
      <c r="H358" s="320" t="s">
        <v>1168</v>
      </c>
    </row>
    <row r="359" spans="1:8" ht="15" customHeight="1" x14ac:dyDescent="0.4">
      <c r="A359" s="133"/>
      <c r="B359" s="131">
        <f t="shared" si="11"/>
        <v>355</v>
      </c>
      <c r="C359" s="129" t="str">
        <f t="shared" si="10"/>
        <v>Coûts totaux du programme</v>
      </c>
      <c r="D359" s="107"/>
      <c r="E359" s="318"/>
      <c r="F359" s="311" t="s">
        <v>398</v>
      </c>
      <c r="G359" s="319" t="s">
        <v>65</v>
      </c>
      <c r="H359" s="320" t="s">
        <v>1002</v>
      </c>
    </row>
    <row r="360" spans="1:8" ht="15" customHeight="1" x14ac:dyDescent="0.4">
      <c r="A360" s="133"/>
      <c r="B360" s="131">
        <f t="shared" si="11"/>
        <v>356</v>
      </c>
      <c r="C360" s="129" t="str">
        <f t="shared" si="10"/>
        <v>Centre de charge</v>
      </c>
      <c r="D360" s="107"/>
      <c r="E360" s="318"/>
      <c r="F360" s="311" t="s">
        <v>900</v>
      </c>
      <c r="G360" s="319" t="s">
        <v>535</v>
      </c>
      <c r="H360" s="320" t="s">
        <v>1169</v>
      </c>
    </row>
    <row r="361" spans="1:8" ht="15" customHeight="1" x14ac:dyDescent="0.4">
      <c r="A361" s="133"/>
      <c r="B361" s="131">
        <f t="shared" si="11"/>
        <v>357</v>
      </c>
      <c r="C361" s="129" t="str">
        <f t="shared" si="10"/>
        <v>Coûts fixes</v>
      </c>
      <c r="D361" s="107"/>
      <c r="E361" s="318"/>
      <c r="F361" s="311" t="s">
        <v>467</v>
      </c>
      <c r="G361" s="319" t="s">
        <v>453</v>
      </c>
      <c r="H361" s="320" t="s">
        <v>1170</v>
      </c>
    </row>
    <row r="362" spans="1:8" ht="15" customHeight="1" x14ac:dyDescent="0.4">
      <c r="A362" s="133"/>
      <c r="B362" s="131">
        <f t="shared" si="11"/>
        <v>358</v>
      </c>
      <c r="C362" s="129" t="str">
        <f t="shared" si="10"/>
        <v>Total des coûts fixes</v>
      </c>
      <c r="D362" s="107"/>
      <c r="E362" s="318"/>
      <c r="F362" s="311" t="s">
        <v>1290</v>
      </c>
      <c r="G362" s="319" t="s">
        <v>455</v>
      </c>
      <c r="H362" s="320" t="s">
        <v>1171</v>
      </c>
    </row>
    <row r="363" spans="1:8" ht="15" customHeight="1" x14ac:dyDescent="0.4">
      <c r="A363" s="133"/>
      <c r="B363" s="131">
        <f t="shared" si="11"/>
        <v>359</v>
      </c>
      <c r="C363" s="129" t="str">
        <f t="shared" si="10"/>
        <v>Prestations propres (travail) de l'organisme porteur</v>
      </c>
      <c r="D363" s="107"/>
      <c r="E363" s="318"/>
      <c r="F363" s="311" t="s">
        <v>1460</v>
      </c>
      <c r="G363" s="319" t="s">
        <v>1417</v>
      </c>
      <c r="H363" s="320" t="s">
        <v>1461</v>
      </c>
    </row>
    <row r="364" spans="1:8" ht="15" customHeight="1" x14ac:dyDescent="0.4">
      <c r="A364" s="133"/>
      <c r="B364" s="131">
        <f t="shared" si="11"/>
        <v>360</v>
      </c>
      <c r="C364" s="129" t="str">
        <f t="shared" si="10"/>
        <v>Coûts de management et de communication</v>
      </c>
      <c r="D364" s="107"/>
      <c r="E364" s="318"/>
      <c r="F364" s="311" t="s">
        <v>1309</v>
      </c>
      <c r="G364" s="319" t="s">
        <v>1298</v>
      </c>
      <c r="H364" s="320" t="s">
        <v>1315</v>
      </c>
    </row>
    <row r="365" spans="1:8" ht="15" customHeight="1" x14ac:dyDescent="0.4">
      <c r="A365" s="133"/>
      <c r="B365" s="131">
        <f t="shared" si="11"/>
        <v>361</v>
      </c>
      <c r="C365" s="129" t="str">
        <f t="shared" si="10"/>
        <v>CF</v>
      </c>
      <c r="D365" s="107"/>
      <c r="E365" s="318"/>
      <c r="F365" s="311" t="s">
        <v>880</v>
      </c>
      <c r="G365" s="319" t="s">
        <v>538</v>
      </c>
      <c r="H365" s="320" t="s">
        <v>880</v>
      </c>
    </row>
    <row r="366" spans="1:8" ht="15" customHeight="1" x14ac:dyDescent="0.4">
      <c r="A366" s="133"/>
      <c r="B366" s="131">
        <f t="shared" si="11"/>
        <v>362</v>
      </c>
      <c r="C366" s="129" t="str">
        <f t="shared" si="10"/>
        <v>Coûts dépendants de la mise en œuvre</v>
      </c>
      <c r="D366" s="107"/>
      <c r="E366" s="318"/>
      <c r="F366" s="311" t="s">
        <v>895</v>
      </c>
      <c r="G366" s="319" t="s">
        <v>1297</v>
      </c>
      <c r="H366" s="320" t="s">
        <v>989</v>
      </c>
    </row>
    <row r="367" spans="1:8" ht="15" customHeight="1" x14ac:dyDescent="0.4">
      <c r="A367" s="133"/>
      <c r="B367" s="131">
        <f t="shared" si="11"/>
        <v>363</v>
      </c>
      <c r="C367" s="129" t="str">
        <f t="shared" si="10"/>
        <v>Coûts variables</v>
      </c>
      <c r="D367" s="107"/>
      <c r="E367" s="318"/>
      <c r="F367" s="311" t="s">
        <v>881</v>
      </c>
      <c r="G367" s="319" t="s">
        <v>874</v>
      </c>
      <c r="H367" s="320" t="s">
        <v>1172</v>
      </c>
    </row>
    <row r="368" spans="1:8" ht="15" customHeight="1" x14ac:dyDescent="0.4">
      <c r="A368" s="133"/>
      <c r="B368" s="131">
        <f t="shared" si="11"/>
        <v>364</v>
      </c>
      <c r="C368" s="129" t="str">
        <f t="shared" si="10"/>
        <v>Champ de contrôle
Différence de financement</v>
      </c>
      <c r="D368" s="107"/>
      <c r="E368" s="318"/>
      <c r="F368" s="311" t="s">
        <v>883</v>
      </c>
      <c r="G368" s="319" t="s">
        <v>871</v>
      </c>
      <c r="H368" s="320" t="s">
        <v>1173</v>
      </c>
    </row>
    <row r="369" spans="1:8" ht="15" customHeight="1" x14ac:dyDescent="0.4">
      <c r="A369" s="133"/>
      <c r="B369" s="131">
        <f t="shared" si="11"/>
        <v>365</v>
      </c>
      <c r="C369" s="129" t="str">
        <f t="shared" si="10"/>
        <v>Prestations propres (espèces) de l'organisme porteur</v>
      </c>
      <c r="D369" s="107"/>
      <c r="E369" s="318"/>
      <c r="F369" s="311" t="s">
        <v>1462</v>
      </c>
      <c r="G369" s="319" t="s">
        <v>1418</v>
      </c>
      <c r="H369" s="320" t="s">
        <v>1463</v>
      </c>
    </row>
    <row r="370" spans="1:8" ht="15" customHeight="1" x14ac:dyDescent="0.4">
      <c r="A370" s="133"/>
      <c r="B370" s="131">
        <f t="shared" si="11"/>
        <v>366</v>
      </c>
      <c r="C370" s="129" t="str">
        <f t="shared" si="10"/>
        <v>Autres bailleurs de fonds (client cibles)</v>
      </c>
      <c r="D370" s="107"/>
      <c r="E370" s="318"/>
      <c r="F370" s="311" t="s">
        <v>1464</v>
      </c>
      <c r="G370" s="319" t="s">
        <v>1393</v>
      </c>
      <c r="H370" s="320" t="s">
        <v>1465</v>
      </c>
    </row>
    <row r="371" spans="1:8" ht="15" customHeight="1" x14ac:dyDescent="0.4">
      <c r="A371" s="133"/>
      <c r="B371" s="131">
        <f t="shared" si="11"/>
        <v>367</v>
      </c>
      <c r="C371" s="129" t="str">
        <f t="shared" si="10"/>
        <v>Autres fonds de soutien (sauf fédéral)</v>
      </c>
      <c r="D371" s="107"/>
      <c r="E371" s="318"/>
      <c r="F371" s="311" t="s">
        <v>1310</v>
      </c>
      <c r="G371" s="319" t="s">
        <v>1352</v>
      </c>
      <c r="H371" s="320" t="s">
        <v>1317</v>
      </c>
    </row>
    <row r="372" spans="1:8" ht="15" customHeight="1" x14ac:dyDescent="0.4">
      <c r="A372" s="133"/>
      <c r="B372" s="131">
        <f t="shared" si="11"/>
        <v>368</v>
      </c>
      <c r="C372" s="129" t="str">
        <f t="shared" si="10"/>
        <v>Contribution de Prokilowatt TVA incluse</v>
      </c>
      <c r="D372" s="107"/>
      <c r="E372" s="318"/>
      <c r="F372" s="311" t="s">
        <v>1631</v>
      </c>
      <c r="G372" s="319" t="s">
        <v>1755</v>
      </c>
      <c r="H372" s="320" t="s">
        <v>1756</v>
      </c>
    </row>
    <row r="373" spans="1:8" ht="15" customHeight="1" x14ac:dyDescent="0.4">
      <c r="A373" s="133"/>
      <c r="B373" s="131">
        <f t="shared" si="11"/>
        <v>369</v>
      </c>
      <c r="C373" s="129" t="str">
        <f t="shared" si="10"/>
        <v>Instructions concernant le budget (coûts)</v>
      </c>
      <c r="D373" s="107"/>
      <c r="E373" s="318"/>
      <c r="F373" s="311" t="s">
        <v>884</v>
      </c>
      <c r="G373" s="319" t="s">
        <v>541</v>
      </c>
      <c r="H373" s="320" t="s">
        <v>1174</v>
      </c>
    </row>
    <row r="374" spans="1:8" ht="15" customHeight="1" x14ac:dyDescent="0.4">
      <c r="A374" s="133"/>
      <c r="B374" s="131">
        <f t="shared" si="11"/>
        <v>370</v>
      </c>
      <c r="C374" s="129" t="str">
        <f t="shared" si="10"/>
        <v>Remarques concernant le budget (coûts)</v>
      </c>
      <c r="D374" s="107"/>
      <c r="E374" s="318"/>
      <c r="F374" s="311" t="s">
        <v>885</v>
      </c>
      <c r="G374" s="319" t="s">
        <v>543</v>
      </c>
      <c r="H374" s="320" t="s">
        <v>1175</v>
      </c>
    </row>
    <row r="375" spans="1:8" ht="15" customHeight="1" x14ac:dyDescent="0.4">
      <c r="A375" s="133"/>
      <c r="B375" s="131">
        <f t="shared" si="11"/>
        <v>371</v>
      </c>
      <c r="C375" s="129" t="str">
        <f t="shared" si="10"/>
        <v>Les coûts sont divisés en deux catégories : les coûts de management et communication ainsi que les coûts dépendants de la mise en œuvre. Les coûts dépendants de la mise en œuvre ne sont encourus que lors de la réalisation effective des mesures d'économie d'électricité. Le budget est établi en tranches d'un an pour toute la durée du programme.
Les champs vides sont renseignés par 0 CHF.</v>
      </c>
      <c r="D375" s="107"/>
      <c r="E375" s="318"/>
      <c r="F375" s="311" t="s">
        <v>1311</v>
      </c>
      <c r="G375" s="319" t="s">
        <v>1353</v>
      </c>
      <c r="H375" s="320" t="s">
        <v>1318</v>
      </c>
    </row>
    <row r="376" spans="1:8" ht="15" customHeight="1" x14ac:dyDescent="0.4">
      <c r="A376" s="133"/>
      <c r="B376" s="131">
        <f t="shared" si="11"/>
        <v>372</v>
      </c>
      <c r="C376" s="129" t="str">
        <f t="shared" si="10"/>
        <v>Décembre 2011 : CHF 55 000.-- de coûts fixes
Octobre 2012 : CHF 40 000.-- (montant restant) de coûts fixes
Coûts variables en fonction des mises en œuvre déjà effectuées :
Calcul partiel en avril 2012
Calcul final prévu pour début 2012</v>
      </c>
      <c r="D376" s="107"/>
      <c r="E376" s="318"/>
      <c r="F376" s="135" t="s">
        <v>1275</v>
      </c>
      <c r="G376" s="319" t="s">
        <v>1276</v>
      </c>
      <c r="H376" s="320" t="s">
        <v>1276</v>
      </c>
    </row>
    <row r="377" spans="1:8" ht="15" customHeight="1" x14ac:dyDescent="0.4">
      <c r="A377" s="133"/>
      <c r="B377" s="131">
        <f t="shared" si="11"/>
        <v>373</v>
      </c>
      <c r="C377" s="129" t="str">
        <f t="shared" si="10"/>
        <v>Instructions concernant le financement</v>
      </c>
      <c r="D377" s="107"/>
      <c r="E377" s="318"/>
      <c r="F377" s="136" t="s">
        <v>886</v>
      </c>
      <c r="G377" s="319" t="s">
        <v>542</v>
      </c>
      <c r="H377" s="320" t="s">
        <v>1176</v>
      </c>
    </row>
    <row r="378" spans="1:8" ht="15" customHeight="1" x14ac:dyDescent="0.4">
      <c r="A378" s="133"/>
      <c r="B378" s="131">
        <f t="shared" si="11"/>
        <v>374</v>
      </c>
      <c r="C378" s="129" t="str">
        <f t="shared" si="10"/>
        <v>Remarques concernant le financement</v>
      </c>
      <c r="D378" s="107"/>
      <c r="E378" s="318"/>
      <c r="F378" s="136" t="s">
        <v>887</v>
      </c>
      <c r="G378" s="319" t="s">
        <v>544</v>
      </c>
      <c r="H378" s="320" t="s">
        <v>1177</v>
      </c>
    </row>
    <row r="379" spans="1:8" ht="15" customHeight="1" x14ac:dyDescent="0.4">
      <c r="A379" s="133"/>
      <c r="B379" s="131">
        <f t="shared" si="11"/>
        <v>375</v>
      </c>
      <c r="C379" s="129" t="str">
        <f t="shared" si="10"/>
        <v>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v>
      </c>
      <c r="D379" s="107"/>
      <c r="E379" s="318"/>
      <c r="F379" s="135" t="s">
        <v>1312</v>
      </c>
      <c r="G379" s="319" t="s">
        <v>1354</v>
      </c>
      <c r="H379" s="320" t="s">
        <v>1319</v>
      </c>
    </row>
    <row r="380" spans="1:8" ht="15" customHeight="1" x14ac:dyDescent="0.4">
      <c r="A380" s="133"/>
      <c r="B380" s="131">
        <f t="shared" si="11"/>
        <v>376</v>
      </c>
      <c r="C380" s="129" t="str">
        <f t="shared" si="10"/>
        <v>Décembre 2011 : CHF 55 000.-- de coûts fixes
Octobre 2012 : CHF 40 000.-- (montant restant) de coûts fixes
Coûts variables en fonction des mises en œuvre déjà effectuées :
Calcul partiel en avril 2012
Calcul final prévu pour début 2012</v>
      </c>
      <c r="D380" s="107"/>
      <c r="E380" s="318"/>
      <c r="F380" s="135" t="s">
        <v>1275</v>
      </c>
      <c r="G380" s="319" t="s">
        <v>1276</v>
      </c>
      <c r="H380" s="320" t="s">
        <v>1276</v>
      </c>
    </row>
    <row r="381" spans="1:8" ht="15" customHeight="1" x14ac:dyDescent="0.4">
      <c r="A381" s="133"/>
      <c r="B381" s="131">
        <f t="shared" si="11"/>
        <v>377</v>
      </c>
      <c r="C381" s="129" t="str">
        <f t="shared" si="10"/>
        <v>Coûts liés à la mise en œuvre des mesures principales (obligation de les décrire dans le concept du programme au chapitre 2 Mesures)</v>
      </c>
      <c r="D381" s="107"/>
      <c r="E381" s="318"/>
      <c r="F381" s="135" t="s">
        <v>1906</v>
      </c>
      <c r="G381" s="319" t="s">
        <v>1907</v>
      </c>
      <c r="H381" s="320" t="s">
        <v>1908</v>
      </c>
    </row>
    <row r="382" spans="1:8" ht="15" customHeight="1" x14ac:dyDescent="0.4">
      <c r="A382" s="133"/>
      <c r="B382" s="131">
        <f t="shared" si="11"/>
        <v>378</v>
      </c>
      <c r="C382" s="129" t="str">
        <f t="shared" si="10"/>
        <v>Coûts liés à la mise en œuvre des mesures d'accompagnement  1 à 8 (obligation de les décrire dans le concept du programme au chapitre 2.1.3 Mesures). Pour l'optimisation de l'exploitation les mesures doivent être identifiées par équipement/installation.
Attention : la contribution de soutien (ProKilowatt + externe) dépend de l’âge de l’installation et peut atteindre au maximum 15-40 % de l'investissement total. Lors de la réalisation du programme, le calcul de la contribution maximale (15%-40%) devra être justifié individuellement pour chaque installation (voir les conditions pour la soumission des programmes en 2016, chap. 3.6).
Attention : les fonds de soutien externes réduisent la subvention maximale ProKilowatt admissible.</v>
      </c>
      <c r="D382" s="107"/>
      <c r="E382" s="318"/>
      <c r="F382" s="135" t="s">
        <v>1867</v>
      </c>
      <c r="G382" s="319" t="s">
        <v>1866</v>
      </c>
      <c r="H382" s="320" t="s">
        <v>1865</v>
      </c>
    </row>
    <row r="383" spans="1:8" ht="15" customHeight="1" x14ac:dyDescent="0.4">
      <c r="A383" s="133"/>
      <c r="B383" s="131">
        <f t="shared" si="11"/>
        <v>379</v>
      </c>
      <c r="C383" s="129" t="str">
        <f t="shared" si="10"/>
        <v>Coûts liés à diverses mesures  (obligation de les décrire dans le concept du programme au chapitre 2.1.3 Mesures)</v>
      </c>
      <c r="D383" s="107"/>
      <c r="E383" s="318"/>
      <c r="F383" s="135" t="s">
        <v>1367</v>
      </c>
      <c r="G383" s="319" t="s">
        <v>1368</v>
      </c>
      <c r="H383" s="320" t="s">
        <v>1369</v>
      </c>
    </row>
    <row r="384" spans="1:8" ht="15" customHeight="1" x14ac:dyDescent="0.4">
      <c r="A384" s="133"/>
      <c r="B384" s="131">
        <f t="shared" si="11"/>
        <v>380</v>
      </c>
      <c r="C384" s="129" t="str">
        <f t="shared" si="10"/>
        <v>Budget (quantification)</v>
      </c>
      <c r="D384" s="107"/>
      <c r="E384" s="318"/>
      <c r="F384" s="136" t="s">
        <v>888</v>
      </c>
      <c r="G384" s="319" t="s">
        <v>539</v>
      </c>
      <c r="H384" s="320" t="s">
        <v>1178</v>
      </c>
    </row>
    <row r="385" spans="1:8" ht="15" customHeight="1" x14ac:dyDescent="0.4">
      <c r="A385" s="133"/>
      <c r="B385" s="131">
        <f t="shared" si="11"/>
        <v>381</v>
      </c>
      <c r="C385" s="129" t="str">
        <f t="shared" si="10"/>
        <v>Financement (quantification)</v>
      </c>
      <c r="D385" s="107"/>
      <c r="E385" s="318"/>
      <c r="F385" s="136" t="s">
        <v>889</v>
      </c>
      <c r="G385" s="319" t="s">
        <v>540</v>
      </c>
      <c r="H385" s="320" t="s">
        <v>1179</v>
      </c>
    </row>
    <row r="386" spans="1:8" ht="15" customHeight="1" x14ac:dyDescent="0.4">
      <c r="A386" s="133"/>
      <c r="B386" s="131">
        <f t="shared" si="11"/>
        <v>382</v>
      </c>
      <c r="C386" s="129" t="str">
        <f t="shared" si="10"/>
        <v>Déclaration de l'origine des financements assurées par d'autres organisations (fonds publics et/ou fonds privés)</v>
      </c>
      <c r="D386" s="107"/>
      <c r="E386" s="318"/>
      <c r="F386" s="311" t="s">
        <v>504</v>
      </c>
      <c r="G386" s="319" t="s">
        <v>503</v>
      </c>
      <c r="H386" s="320" t="s">
        <v>1180</v>
      </c>
    </row>
    <row r="387" spans="1:8" ht="15" customHeight="1" x14ac:dyDescent="0.4">
      <c r="A387" s="133"/>
      <c r="B387" s="131">
        <f t="shared" si="11"/>
        <v>383</v>
      </c>
      <c r="C387" s="129" t="str">
        <f t="shared" si="10"/>
        <v>Si oui, sont-elles des contributions privées?</v>
      </c>
      <c r="D387" s="107"/>
      <c r="E387" s="318"/>
      <c r="F387" s="311" t="s">
        <v>519</v>
      </c>
      <c r="G387" s="319" t="s">
        <v>473</v>
      </c>
      <c r="H387" s="320" t="s">
        <v>1181</v>
      </c>
    </row>
    <row r="388" spans="1:8" ht="15" customHeight="1" x14ac:dyDescent="0.4">
      <c r="A388" s="133"/>
      <c r="B388" s="131">
        <f t="shared" si="11"/>
        <v>384</v>
      </c>
      <c r="C388" s="129" t="str">
        <f t="shared" si="10"/>
        <v>Si oui, sont-elles des contributions publics?</v>
      </c>
      <c r="D388" s="107"/>
      <c r="E388" s="318"/>
      <c r="F388" s="311" t="s">
        <v>520</v>
      </c>
      <c r="G388" s="319" t="s">
        <v>472</v>
      </c>
      <c r="H388" s="320" t="s">
        <v>1182</v>
      </c>
    </row>
    <row r="389" spans="1:8" ht="15" customHeight="1" x14ac:dyDescent="0.4">
      <c r="A389" s="130" t="s">
        <v>865</v>
      </c>
      <c r="B389" s="131">
        <f t="shared" si="11"/>
        <v>385</v>
      </c>
      <c r="C389" s="129" t="str">
        <f t="shared" ref="C389:C452" si="12">IF($B$1="f",F389,IF($B$1="d",G389,H389))</f>
        <v>Questions concernant le financement</v>
      </c>
      <c r="D389" s="107"/>
      <c r="E389" s="318"/>
      <c r="F389" s="311" t="s">
        <v>468</v>
      </c>
      <c r="G389" s="319" t="s">
        <v>460</v>
      </c>
      <c r="H389" s="320" t="s">
        <v>1183</v>
      </c>
    </row>
    <row r="390" spans="1:8" ht="15" customHeight="1" x14ac:dyDescent="0.4">
      <c r="A390" s="133" t="s">
        <v>705</v>
      </c>
      <c r="B390" s="131">
        <f t="shared" ref="B390:B453" si="13">B389+1</f>
        <v>386</v>
      </c>
      <c r="C390" s="129" t="str">
        <f t="shared" si="12"/>
        <v>Financement</v>
      </c>
      <c r="D390" s="107"/>
      <c r="E390" s="318"/>
      <c r="F390" s="311" t="s">
        <v>180</v>
      </c>
      <c r="G390" s="319" t="s">
        <v>603</v>
      </c>
      <c r="H390" s="320" t="s">
        <v>1184</v>
      </c>
    </row>
    <row r="391" spans="1:8" ht="15" customHeight="1" x14ac:dyDescent="0.4">
      <c r="A391" s="133" t="s">
        <v>637</v>
      </c>
      <c r="B391" s="131">
        <f t="shared" si="13"/>
        <v>387</v>
      </c>
      <c r="C391" s="129" t="str">
        <f t="shared" si="12"/>
        <v>Comment le programme est-il financé?</v>
      </c>
      <c r="D391" s="107"/>
      <c r="E391" s="318"/>
      <c r="F391" s="311" t="s">
        <v>474</v>
      </c>
      <c r="G391" s="319" t="s">
        <v>771</v>
      </c>
      <c r="H391" s="320" t="s">
        <v>1185</v>
      </c>
    </row>
    <row r="392" spans="1:8" ht="15" customHeight="1" x14ac:dyDescent="0.4">
      <c r="A392" s="133" t="s">
        <v>706</v>
      </c>
      <c r="B392" s="131">
        <f t="shared" si="13"/>
        <v>388</v>
      </c>
      <c r="C392" s="129" t="str">
        <f t="shared" si="12"/>
        <v>Quelle part doit être financée dans le cadre de l’appel d’offres public?</v>
      </c>
      <c r="D392" s="107"/>
      <c r="E392" s="318"/>
      <c r="F392" s="311" t="s">
        <v>475</v>
      </c>
      <c r="G392" s="319" t="s">
        <v>6</v>
      </c>
      <c r="H392" s="320" t="s">
        <v>1186</v>
      </c>
    </row>
    <row r="393" spans="1:8" ht="15" customHeight="1" x14ac:dyDescent="0.4">
      <c r="A393" s="133" t="s">
        <v>707</v>
      </c>
      <c r="B393" s="131">
        <f t="shared" si="13"/>
        <v>389</v>
      </c>
      <c r="C393" s="129" t="str">
        <f t="shared" si="12"/>
        <v>D'autres organisations financent-elles une partie des coûts?</v>
      </c>
      <c r="D393" s="107"/>
      <c r="E393" s="318"/>
      <c r="F393" s="311" t="s">
        <v>476</v>
      </c>
      <c r="G393" s="319" t="s">
        <v>773</v>
      </c>
      <c r="H393" s="320" t="s">
        <v>1187</v>
      </c>
    </row>
    <row r="394" spans="1:8" ht="15" customHeight="1" x14ac:dyDescent="0.4">
      <c r="A394" s="133" t="s">
        <v>708</v>
      </c>
      <c r="B394" s="131">
        <f t="shared" si="13"/>
        <v>390</v>
      </c>
      <c r="C394" s="129" t="str">
        <f t="shared" si="12"/>
        <v xml:space="preserve">Quelles sont les parts financées par d’autres organisations? </v>
      </c>
      <c r="D394" s="107"/>
      <c r="E394" s="318"/>
      <c r="F394" s="311" t="s">
        <v>499</v>
      </c>
      <c r="G394" s="319" t="s">
        <v>498</v>
      </c>
      <c r="H394" s="320" t="s">
        <v>1188</v>
      </c>
    </row>
    <row r="395" spans="1:8" ht="15" customHeight="1" x14ac:dyDescent="0.4">
      <c r="A395" s="133" t="s">
        <v>709</v>
      </c>
      <c r="B395" s="131">
        <f t="shared" si="13"/>
        <v>391</v>
      </c>
      <c r="C395" s="129" t="str">
        <f t="shared" si="12"/>
        <v>Le financement de ces autres contributions est-il assuré?</v>
      </c>
      <c r="D395" s="107"/>
      <c r="E395" s="318"/>
      <c r="F395" s="311" t="s">
        <v>477</v>
      </c>
      <c r="G395" s="319" t="s">
        <v>774</v>
      </c>
      <c r="H395" s="320" t="s">
        <v>1189</v>
      </c>
    </row>
    <row r="396" spans="1:8" ht="15" customHeight="1" x14ac:dyDescent="0.4">
      <c r="A396" s="133" t="s">
        <v>711</v>
      </c>
      <c r="B396" s="131">
        <f t="shared" si="13"/>
        <v>392</v>
      </c>
      <c r="C396" s="129" t="str">
        <f t="shared" si="12"/>
        <v>Si oui, comment?
Si non, comment?</v>
      </c>
      <c r="D396" s="107"/>
      <c r="E396" s="318"/>
      <c r="F396" s="311" t="s">
        <v>478</v>
      </c>
      <c r="G396" s="319" t="s">
        <v>469</v>
      </c>
      <c r="H396" s="320" t="s">
        <v>1190</v>
      </c>
    </row>
    <row r="397" spans="1:8" ht="15" customHeight="1" x14ac:dyDescent="0.4">
      <c r="A397" s="133" t="s">
        <v>713</v>
      </c>
      <c r="B397" s="131">
        <f t="shared" si="13"/>
        <v>393</v>
      </c>
      <c r="C397" s="129" t="str">
        <f t="shared" si="12"/>
        <v>Coûts (8.4)</v>
      </c>
      <c r="D397" s="107"/>
      <c r="E397" s="318"/>
      <c r="F397" s="311" t="s">
        <v>459</v>
      </c>
      <c r="G397" s="319" t="s">
        <v>458</v>
      </c>
      <c r="H397" s="320" t="s">
        <v>1191</v>
      </c>
    </row>
    <row r="398" spans="1:8" ht="15" customHeight="1" x14ac:dyDescent="0.4">
      <c r="A398" s="133" t="s">
        <v>715</v>
      </c>
      <c r="B398" s="131">
        <f t="shared" si="13"/>
        <v>394</v>
      </c>
      <c r="C398" s="129" t="str">
        <f t="shared" si="12"/>
        <v>Prestations propres</v>
      </c>
      <c r="D398" s="107"/>
      <c r="E398" s="318"/>
      <c r="F398" s="311" t="s">
        <v>399</v>
      </c>
      <c r="G398" s="319" t="s">
        <v>123</v>
      </c>
      <c r="H398" s="320" t="s">
        <v>1192</v>
      </c>
    </row>
    <row r="399" spans="1:8" ht="15" customHeight="1" x14ac:dyDescent="0.4">
      <c r="A399" s="133" t="s">
        <v>716</v>
      </c>
      <c r="B399" s="131">
        <f t="shared" si="13"/>
        <v>395</v>
      </c>
      <c r="C399" s="129" t="str">
        <f t="shared" si="12"/>
        <v>Contribut. de soutien d'organismes publics</v>
      </c>
      <c r="D399" s="107"/>
      <c r="E399" s="318"/>
      <c r="F399" s="311" t="s">
        <v>500</v>
      </c>
      <c r="G399" s="319" t="s">
        <v>125</v>
      </c>
      <c r="H399" s="320" t="s">
        <v>1193</v>
      </c>
    </row>
    <row r="400" spans="1:8" ht="15" customHeight="1" x14ac:dyDescent="0.4">
      <c r="A400" s="133" t="s">
        <v>718</v>
      </c>
      <c r="B400" s="131">
        <f t="shared" si="13"/>
        <v>396</v>
      </c>
      <c r="C400" s="129" t="str">
        <f t="shared" si="12"/>
        <v>Contribution des appels d'offres publics TVA incluse</v>
      </c>
      <c r="D400" s="107"/>
      <c r="E400" s="318"/>
      <c r="F400" s="311" t="s">
        <v>1277</v>
      </c>
      <c r="G400" s="319" t="s">
        <v>1280</v>
      </c>
      <c r="H400" s="320" t="s">
        <v>1278</v>
      </c>
    </row>
    <row r="401" spans="1:8" ht="15" customHeight="1" x14ac:dyDescent="0.4">
      <c r="A401" s="133" t="s">
        <v>701</v>
      </c>
      <c r="B401" s="131">
        <f t="shared" si="13"/>
        <v>397</v>
      </c>
      <c r="C401" s="129" t="str">
        <f t="shared" si="12"/>
        <v>Total du financement</v>
      </c>
      <c r="D401" s="107"/>
      <c r="E401" s="318"/>
      <c r="F401" s="311" t="s">
        <v>400</v>
      </c>
      <c r="G401" s="319" t="s">
        <v>772</v>
      </c>
      <c r="H401" s="320" t="s">
        <v>1194</v>
      </c>
    </row>
    <row r="402" spans="1:8" ht="15" customHeight="1" x14ac:dyDescent="0.4">
      <c r="A402" s="133" t="s">
        <v>702</v>
      </c>
      <c r="B402" s="131">
        <f t="shared" si="13"/>
        <v>398</v>
      </c>
      <c r="C402" s="129" t="str">
        <f t="shared" si="12"/>
        <v>Plan de paiement des contributions des appels d'offres publics</v>
      </c>
      <c r="D402" s="107"/>
      <c r="E402" s="318"/>
      <c r="F402" s="311" t="s">
        <v>401</v>
      </c>
      <c r="G402" s="319" t="s">
        <v>848</v>
      </c>
      <c r="H402" s="320" t="s">
        <v>1195</v>
      </c>
    </row>
    <row r="403" spans="1:8" ht="15" customHeight="1" x14ac:dyDescent="0.4">
      <c r="A403" s="133" t="s">
        <v>703</v>
      </c>
      <c r="B403" s="131">
        <f t="shared" si="13"/>
        <v>399</v>
      </c>
      <c r="C403" s="129" t="str">
        <f t="shared" si="12"/>
        <v>Comment le plan de paiement du programme se présente-t-il ?</v>
      </c>
      <c r="D403" s="107"/>
      <c r="E403" s="318"/>
      <c r="F403" s="311" t="s">
        <v>402</v>
      </c>
      <c r="G403" s="319" t="s">
        <v>775</v>
      </c>
      <c r="H403" s="320" t="s">
        <v>1196</v>
      </c>
    </row>
    <row r="404" spans="1:8" ht="15" customHeight="1" x14ac:dyDescent="0.4">
      <c r="A404" s="133" t="s">
        <v>729</v>
      </c>
      <c r="B404" s="131">
        <f t="shared" si="13"/>
        <v>400</v>
      </c>
      <c r="C404" s="129" t="str">
        <f t="shared" si="12"/>
        <v>Description du financement et des partenaires impliqués dans le financement</v>
      </c>
      <c r="D404" s="107"/>
      <c r="E404" s="318"/>
      <c r="F404" s="311" t="s">
        <v>403</v>
      </c>
      <c r="G404" s="319" t="s">
        <v>152</v>
      </c>
      <c r="H404" s="320" t="s">
        <v>1197</v>
      </c>
    </row>
    <row r="405" spans="1:8" ht="15" customHeight="1" x14ac:dyDescent="0.4">
      <c r="A405" s="133" t="s">
        <v>722</v>
      </c>
      <c r="B405" s="131">
        <f t="shared" si="13"/>
        <v>401</v>
      </c>
      <c r="C405" s="129" t="str">
        <f t="shared" si="12"/>
        <v>Comment les moyens mis à disposition dans le cadre des appels d'offres publics sont-ils utilisés ?</v>
      </c>
      <c r="D405" s="107"/>
      <c r="E405" s="318"/>
      <c r="F405" s="311" t="s">
        <v>404</v>
      </c>
      <c r="G405" s="319" t="s">
        <v>7</v>
      </c>
      <c r="H405" s="320" t="s">
        <v>1198</v>
      </c>
    </row>
    <row r="406" spans="1:8" ht="15" customHeight="1" x14ac:dyDescent="0.4">
      <c r="A406" s="133" t="s">
        <v>723</v>
      </c>
      <c r="B406" s="131">
        <f t="shared" si="13"/>
        <v>402</v>
      </c>
      <c r="C406" s="129" t="str">
        <f t="shared" si="12"/>
        <v>Existe-t-il à part des «appels d'offre public», d'autres contributions « à fonds perdu » d'autres organisations (Confédération, canton ou autres organisations privées)?</v>
      </c>
      <c r="D406" s="107"/>
      <c r="E406" s="318"/>
      <c r="F406" s="311" t="s">
        <v>505</v>
      </c>
      <c r="G406" s="319" t="s">
        <v>471</v>
      </c>
      <c r="H406" s="320" t="s">
        <v>1199</v>
      </c>
    </row>
    <row r="407" spans="1:8" ht="15" customHeight="1" x14ac:dyDescent="0.4">
      <c r="A407" s="133" t="s">
        <v>724</v>
      </c>
      <c r="B407" s="131">
        <f t="shared" si="13"/>
        <v>403</v>
      </c>
      <c r="C407" s="129" t="str">
        <f t="shared" si="12"/>
        <v>Définition des parts de financement assurées par d'autres organisations</v>
      </c>
      <c r="D407" s="107"/>
      <c r="E407" s="318"/>
      <c r="F407" s="311" t="s">
        <v>506</v>
      </c>
      <c r="G407" s="319" t="s">
        <v>502</v>
      </c>
      <c r="H407" s="320" t="s">
        <v>1200</v>
      </c>
    </row>
    <row r="408" spans="1:8" ht="15" customHeight="1" x14ac:dyDescent="0.4">
      <c r="A408" s="133" t="s">
        <v>725</v>
      </c>
      <c r="B408" s="131">
        <f t="shared" si="13"/>
        <v>404</v>
      </c>
      <c r="C408" s="129" t="str">
        <f t="shared" si="12"/>
        <v xml:space="preserve">Définition des parts financées par d’autres organisations </v>
      </c>
      <c r="D408" s="107"/>
      <c r="E408" s="318"/>
      <c r="F408" s="311" t="s">
        <v>507</v>
      </c>
      <c r="G408" s="319" t="s">
        <v>501</v>
      </c>
      <c r="H408" s="320" t="s">
        <v>1201</v>
      </c>
    </row>
    <row r="409" spans="1:8" ht="15" customHeight="1" x14ac:dyDescent="0.4">
      <c r="A409" s="133" t="s">
        <v>732</v>
      </c>
      <c r="B409" s="131">
        <f t="shared" si="13"/>
        <v>405</v>
      </c>
      <c r="C409" s="129" t="str">
        <f t="shared" si="12"/>
        <v>Si oui, existe-t-il des confirmations définitives?
Si non, quand ces confirmations seront-elles définitives et de quoi dépend leur obtention?</v>
      </c>
      <c r="D409" s="107"/>
      <c r="E409" s="318"/>
      <c r="F409" s="311" t="s">
        <v>1291</v>
      </c>
      <c r="G409" s="319" t="s">
        <v>470</v>
      </c>
      <c r="H409" s="320" t="s">
        <v>1202</v>
      </c>
    </row>
    <row r="410" spans="1:8" ht="15" customHeight="1" x14ac:dyDescent="0.4">
      <c r="A410" s="133" t="s">
        <v>728</v>
      </c>
      <c r="B410" s="131">
        <f t="shared" si="13"/>
        <v>406</v>
      </c>
      <c r="C410" s="129" t="str">
        <f t="shared" si="12"/>
        <v>Report des coûts de 6.2</v>
      </c>
      <c r="D410" s="107"/>
      <c r="E410" s="318"/>
      <c r="F410" s="311" t="s">
        <v>405</v>
      </c>
      <c r="G410" s="319" t="s">
        <v>47</v>
      </c>
      <c r="H410" s="320" t="s">
        <v>1203</v>
      </c>
    </row>
    <row r="411" spans="1:8" ht="15" customHeight="1" x14ac:dyDescent="0.4">
      <c r="A411" s="133" t="s">
        <v>727</v>
      </c>
      <c r="B411" s="131">
        <f t="shared" si="13"/>
        <v>407</v>
      </c>
      <c r="C411" s="129" t="str">
        <f t="shared" si="12"/>
        <v>Prestations propres assurées par l'organisme porteur (p.ex. personnel, infrastructure etc.)</v>
      </c>
      <c r="D411" s="107"/>
      <c r="E411" s="318"/>
      <c r="F411" s="311" t="s">
        <v>406</v>
      </c>
      <c r="G411" s="319" t="s">
        <v>126</v>
      </c>
      <c r="H411" s="320" t="s">
        <v>1204</v>
      </c>
    </row>
    <row r="412" spans="1:8" ht="15" customHeight="1" x14ac:dyDescent="0.4">
      <c r="A412" s="133" t="s">
        <v>866</v>
      </c>
      <c r="B412" s="131">
        <f t="shared" si="13"/>
        <v>408</v>
      </c>
      <c r="C412" s="129" t="str">
        <f t="shared" si="12"/>
        <v>Contributions " à fonds perdus " reçues (canton, communes, fondations, SI, etc.)</v>
      </c>
      <c r="D412" s="107"/>
      <c r="E412" s="318"/>
      <c r="F412" s="311" t="s">
        <v>1559</v>
      </c>
      <c r="G412" s="319" t="s">
        <v>1558</v>
      </c>
      <c r="H412" s="320" t="s">
        <v>1548</v>
      </c>
    </row>
    <row r="413" spans="1:8" ht="15" customHeight="1" x14ac:dyDescent="0.4">
      <c r="A413" s="133" t="s">
        <v>867</v>
      </c>
      <c r="B413" s="131">
        <f t="shared" si="13"/>
        <v>409</v>
      </c>
      <c r="C413" s="129" t="str">
        <f t="shared" si="12"/>
        <v>Contribution sollicitée dans le cadre des appels d'offres publics. Contribution minimale CHF 150'000. Contribution maximale CHF 3 million</v>
      </c>
      <c r="D413" s="107"/>
      <c r="E413" s="318"/>
      <c r="F413" s="311" t="s">
        <v>1757</v>
      </c>
      <c r="G413" s="319" t="s">
        <v>1616</v>
      </c>
      <c r="H413" s="320" t="s">
        <v>1758</v>
      </c>
    </row>
    <row r="414" spans="1:8" ht="15" customHeight="1" x14ac:dyDescent="0.4">
      <c r="A414" s="133" t="s">
        <v>868</v>
      </c>
      <c r="B414" s="131">
        <f t="shared" si="13"/>
        <v>410</v>
      </c>
      <c r="C414" s="129" t="str">
        <f t="shared" si="12"/>
        <v>Description du plan de paiement des moyens mis à disposition dans le cadre des appels d'offres publics soit dans le descriptif du programme ou dans l'annexe.</v>
      </c>
      <c r="D414" s="107"/>
      <c r="E414" s="318"/>
      <c r="F414" s="311" t="s">
        <v>1293</v>
      </c>
      <c r="G414" s="319" t="s">
        <v>1292</v>
      </c>
      <c r="H414" s="320" t="s">
        <v>1205</v>
      </c>
    </row>
    <row r="415" spans="1:8" ht="15" customHeight="1" x14ac:dyDescent="0.4">
      <c r="A415" s="133"/>
      <c r="B415" s="131">
        <f t="shared" si="13"/>
        <v>411</v>
      </c>
      <c r="C415" s="129" t="str">
        <f t="shared" si="12"/>
        <v>Principalement financé par la clientèle cible</v>
      </c>
      <c r="D415" s="107"/>
      <c r="E415" s="318"/>
      <c r="F415" s="311" t="s">
        <v>1503</v>
      </c>
      <c r="G415" s="319" t="s">
        <v>1444</v>
      </c>
      <c r="H415" s="320" t="s">
        <v>1549</v>
      </c>
    </row>
    <row r="416" spans="1:8" ht="15" customHeight="1" x14ac:dyDescent="0.4">
      <c r="A416" s="133"/>
      <c r="B416" s="131">
        <f t="shared" si="13"/>
        <v>412</v>
      </c>
      <c r="C416" s="129" t="str">
        <f t="shared" si="12"/>
        <v>Contributions de soutien d'organismes privés</v>
      </c>
      <c r="D416" s="107"/>
      <c r="E416" s="318"/>
      <c r="F416" s="311" t="s">
        <v>890</v>
      </c>
      <c r="G416" s="319" t="s">
        <v>124</v>
      </c>
      <c r="H416" s="320" t="s">
        <v>1206</v>
      </c>
    </row>
    <row r="417" spans="1:8" ht="15" customHeight="1" x14ac:dyDescent="0.4">
      <c r="A417" s="133"/>
      <c r="B417" s="131">
        <f t="shared" si="13"/>
        <v>413</v>
      </c>
      <c r="C417" s="129">
        <f t="shared" si="12"/>
        <v>0</v>
      </c>
      <c r="D417" s="107"/>
      <c r="E417" s="318"/>
      <c r="F417" s="311"/>
      <c r="G417" s="319"/>
      <c r="H417" s="320"/>
    </row>
    <row r="418" spans="1:8" ht="15" customHeight="1" x14ac:dyDescent="0.4">
      <c r="A418" s="133"/>
      <c r="B418" s="131">
        <f t="shared" si="13"/>
        <v>414</v>
      </c>
      <c r="C418" s="129">
        <f t="shared" si="12"/>
        <v>0</v>
      </c>
      <c r="D418" s="107"/>
      <c r="E418" s="318"/>
      <c r="F418" s="311"/>
      <c r="G418" s="319"/>
      <c r="H418" s="320"/>
    </row>
    <row r="419" spans="1:8" ht="15" customHeight="1" x14ac:dyDescent="0.4">
      <c r="A419" s="133"/>
      <c r="B419" s="131">
        <f t="shared" si="13"/>
        <v>415</v>
      </c>
      <c r="C419" s="129">
        <f t="shared" si="12"/>
        <v>0</v>
      </c>
      <c r="D419" s="107"/>
      <c r="E419" s="318"/>
      <c r="F419" s="311"/>
      <c r="G419" s="319"/>
      <c r="H419" s="320"/>
    </row>
    <row r="420" spans="1:8" ht="15" customHeight="1" x14ac:dyDescent="0.4">
      <c r="A420" s="130" t="s">
        <v>744</v>
      </c>
      <c r="B420" s="131">
        <f t="shared" si="13"/>
        <v>416</v>
      </c>
      <c r="C420" s="129">
        <f t="shared" si="12"/>
        <v>0</v>
      </c>
      <c r="D420" s="107"/>
      <c r="E420" s="318"/>
      <c r="F420" s="311"/>
      <c r="G420" s="319"/>
      <c r="H420" s="320"/>
    </row>
    <row r="421" spans="1:8" ht="15" customHeight="1" x14ac:dyDescent="0.4">
      <c r="A421" s="133"/>
      <c r="B421" s="131">
        <f t="shared" si="13"/>
        <v>417</v>
      </c>
      <c r="C421" s="129" t="str">
        <f t="shared" si="12"/>
        <v>Avant la mise en œuvre du programme</v>
      </c>
      <c r="D421" s="107"/>
      <c r="E421" s="318"/>
      <c r="F421" s="311" t="s">
        <v>407</v>
      </c>
      <c r="G421" s="319" t="s">
        <v>780</v>
      </c>
      <c r="H421" s="320" t="s">
        <v>1207</v>
      </c>
    </row>
    <row r="422" spans="1:8" ht="15" customHeight="1" x14ac:dyDescent="0.4">
      <c r="A422" s="133"/>
      <c r="B422" s="131">
        <f t="shared" si="13"/>
        <v>418</v>
      </c>
      <c r="C422" s="129" t="str">
        <f t="shared" si="12"/>
        <v xml:space="preserve">Subsiste-t-il des questions concernant les technologies utilisées pour les mesures d'efficacité? </v>
      </c>
      <c r="D422" s="107"/>
      <c r="E422" s="318"/>
      <c r="F422" s="311" t="s">
        <v>479</v>
      </c>
      <c r="G422" s="319" t="s">
        <v>807</v>
      </c>
      <c r="H422" s="320" t="s">
        <v>1208</v>
      </c>
    </row>
    <row r="423" spans="1:8" ht="15" customHeight="1" x14ac:dyDescent="0.4">
      <c r="A423" s="133"/>
      <c r="B423" s="131">
        <f t="shared" si="13"/>
        <v>419</v>
      </c>
      <c r="C423" s="129" t="str">
        <f t="shared" si="12"/>
        <v>Existe-t-il des incertitudes inhérentes à l’estimation des effets du programme?</v>
      </c>
      <c r="D423" s="107"/>
      <c r="E423" s="318"/>
      <c r="F423" s="311" t="s">
        <v>480</v>
      </c>
      <c r="G423" s="319" t="s">
        <v>808</v>
      </c>
      <c r="H423" s="320" t="s">
        <v>1209</v>
      </c>
    </row>
    <row r="424" spans="1:8" ht="15" customHeight="1" x14ac:dyDescent="0.4">
      <c r="A424" s="133"/>
      <c r="B424" s="131">
        <f t="shared" si="13"/>
        <v>420</v>
      </c>
      <c r="C424" s="129" t="str">
        <f t="shared" si="12"/>
        <v>Quels sont les risques en matière de garantie de financement?</v>
      </c>
      <c r="D424" s="107"/>
      <c r="E424" s="318"/>
      <c r="F424" s="311" t="s">
        <v>481</v>
      </c>
      <c r="G424" s="319" t="s">
        <v>813</v>
      </c>
      <c r="H424" s="320" t="s">
        <v>1210</v>
      </c>
    </row>
    <row r="425" spans="1:8" ht="15" customHeight="1" x14ac:dyDescent="0.4">
      <c r="A425" s="133"/>
      <c r="B425" s="131">
        <f t="shared" si="13"/>
        <v>421</v>
      </c>
      <c r="C425" s="129" t="str">
        <f t="shared" si="12"/>
        <v>Mise en œuvre du programme</v>
      </c>
      <c r="D425" s="107"/>
      <c r="E425" s="318"/>
      <c r="F425" s="311" t="s">
        <v>408</v>
      </c>
      <c r="G425" s="319" t="s">
        <v>781</v>
      </c>
      <c r="H425" s="320" t="s">
        <v>1211</v>
      </c>
    </row>
    <row r="426" spans="1:8" ht="15" customHeight="1" x14ac:dyDescent="0.4">
      <c r="A426" s="133"/>
      <c r="B426" s="131">
        <f t="shared" si="13"/>
        <v>422</v>
      </c>
      <c r="C426" s="129" t="str">
        <f t="shared" si="12"/>
        <v>Quelles conditions-cadres peuvent influencer les économies d’électricité attendues?</v>
      </c>
      <c r="D426" s="107"/>
      <c r="E426" s="318"/>
      <c r="F426" s="311" t="s">
        <v>482</v>
      </c>
      <c r="G426" s="319" t="s">
        <v>809</v>
      </c>
      <c r="H426" s="320" t="s">
        <v>1212</v>
      </c>
    </row>
    <row r="427" spans="1:8" ht="15" customHeight="1" x14ac:dyDescent="0.4">
      <c r="A427" s="133"/>
      <c r="B427" s="131">
        <f t="shared" si="13"/>
        <v>423</v>
      </c>
      <c r="C427" s="129" t="str">
        <f t="shared" si="12"/>
        <v>Les ressources en personnel et les connaissances techniques requises sont-elles disponibles?</v>
      </c>
      <c r="D427" s="107"/>
      <c r="E427" s="318"/>
      <c r="F427" s="311" t="s">
        <v>483</v>
      </c>
      <c r="G427" s="319" t="s">
        <v>810</v>
      </c>
      <c r="H427" s="320" t="s">
        <v>1213</v>
      </c>
    </row>
    <row r="428" spans="1:8" ht="15" customHeight="1" x14ac:dyDescent="0.4">
      <c r="A428" s="133"/>
      <c r="B428" s="131">
        <f t="shared" si="13"/>
        <v>424</v>
      </c>
      <c r="C428" s="129" t="str">
        <f t="shared" si="12"/>
        <v>Existe-t-il des incertitudes quant à l'atteinte des objectifs?</v>
      </c>
      <c r="D428" s="107"/>
      <c r="E428" s="318"/>
      <c r="F428" s="311" t="s">
        <v>484</v>
      </c>
      <c r="G428" s="319" t="s">
        <v>811</v>
      </c>
      <c r="H428" s="320" t="s">
        <v>1214</v>
      </c>
    </row>
    <row r="429" spans="1:8" ht="15" customHeight="1" x14ac:dyDescent="0.4">
      <c r="A429" s="133"/>
      <c r="B429" s="131">
        <f t="shared" si="13"/>
        <v>425</v>
      </c>
      <c r="C429" s="129" t="str">
        <f t="shared" si="12"/>
        <v>Existe-t-il des incertitudes techniques d'exploitation?</v>
      </c>
      <c r="D429" s="107"/>
      <c r="E429" s="318"/>
      <c r="F429" s="311" t="s">
        <v>485</v>
      </c>
      <c r="G429" s="319" t="s">
        <v>812</v>
      </c>
      <c r="H429" s="320" t="s">
        <v>1215</v>
      </c>
    </row>
    <row r="430" spans="1:8" ht="15" customHeight="1" x14ac:dyDescent="0.4">
      <c r="A430" s="133"/>
      <c r="B430" s="131">
        <f t="shared" si="13"/>
        <v>426</v>
      </c>
      <c r="C430" s="129" t="str">
        <f t="shared" si="12"/>
        <v>Quel est le risque financier maximal encouru par ProKilowatt en cas d'échec du programme ?</v>
      </c>
      <c r="D430" s="107"/>
      <c r="E430" s="318"/>
      <c r="F430" s="311" t="s">
        <v>891</v>
      </c>
      <c r="G430" s="319" t="s">
        <v>530</v>
      </c>
      <c r="H430" s="320" t="s">
        <v>1216</v>
      </c>
    </row>
    <row r="431" spans="1:8" ht="15" customHeight="1" x14ac:dyDescent="0.4">
      <c r="A431" s="133"/>
      <c r="B431" s="131">
        <f t="shared" si="13"/>
        <v>427</v>
      </c>
      <c r="C431" s="129" t="str">
        <f t="shared" si="12"/>
        <v>Les risques de mise en œuvre doivent être aussi réduits que possible. Ils entrent en jeu dans l'évaluation du programme avec une pondération de 0,15.</v>
      </c>
      <c r="D431" s="107"/>
      <c r="E431" s="318"/>
      <c r="F431" s="311" t="s">
        <v>409</v>
      </c>
      <c r="G431" s="319" t="s">
        <v>103</v>
      </c>
      <c r="H431" s="320" t="s">
        <v>1217</v>
      </c>
    </row>
    <row r="432" spans="1:8" ht="15" customHeight="1" x14ac:dyDescent="0.4">
      <c r="A432" s="133"/>
      <c r="B432" s="131">
        <f t="shared" si="13"/>
        <v>428</v>
      </c>
      <c r="C432" s="129" t="str">
        <f t="shared" si="12"/>
        <v>Description des risques ou incertitudes d'ordre technologique lors de la mise en œuvre des mesures d'efficacité.</v>
      </c>
      <c r="D432" s="107"/>
      <c r="E432" s="318"/>
      <c r="F432" s="311" t="s">
        <v>410</v>
      </c>
      <c r="G432" s="319" t="s">
        <v>153</v>
      </c>
      <c r="H432" s="320" t="s">
        <v>1218</v>
      </c>
    </row>
    <row r="433" spans="1:8" ht="15" customHeight="1" x14ac:dyDescent="0.4">
      <c r="A433" s="133"/>
      <c r="B433" s="131">
        <f t="shared" si="13"/>
        <v>429</v>
      </c>
      <c r="C433" s="129" t="str">
        <f t="shared" si="12"/>
        <v>Description des incertitudes inhérentes à l’estimation des effets du programme (ou insuffisance de l’évidence empirique).</v>
      </c>
      <c r="D433" s="107"/>
      <c r="E433" s="318"/>
      <c r="F433" s="311" t="s">
        <v>411</v>
      </c>
      <c r="G433" s="319" t="s">
        <v>109</v>
      </c>
      <c r="H433" s="320" t="s">
        <v>1219</v>
      </c>
    </row>
    <row r="434" spans="1:8" ht="15" customHeight="1" x14ac:dyDescent="0.4">
      <c r="A434" s="133"/>
      <c r="B434" s="131">
        <f t="shared" si="13"/>
        <v>430</v>
      </c>
      <c r="C434" s="129" t="str">
        <f t="shared" si="12"/>
        <v>Existe-t-il des risques en ce qui concerne le financement? Si oui, veuillez décrire les mesures prises pour les contrecarrer.</v>
      </c>
      <c r="D434" s="107"/>
      <c r="E434" s="318"/>
      <c r="F434" s="311" t="s">
        <v>486</v>
      </c>
      <c r="G434" s="319" t="s">
        <v>9</v>
      </c>
      <c r="H434" s="320" t="s">
        <v>1220</v>
      </c>
    </row>
    <row r="435" spans="1:8" ht="15" customHeight="1" x14ac:dyDescent="0.4">
      <c r="A435" s="133"/>
      <c r="B435" s="131">
        <f t="shared" si="13"/>
        <v>431</v>
      </c>
      <c r="C435" s="129" t="str">
        <f t="shared" si="12"/>
        <v>Incertitudes relatives aux conditions-cadres qui pourraient représenter une entrave à la réalisation des objectifs</v>
      </c>
      <c r="D435" s="107"/>
      <c r="E435" s="318"/>
      <c r="F435" s="311" t="s">
        <v>412</v>
      </c>
      <c r="G435" s="319" t="s">
        <v>144</v>
      </c>
      <c r="H435" s="320" t="s">
        <v>1221</v>
      </c>
    </row>
    <row r="436" spans="1:8" ht="15" customHeight="1" x14ac:dyDescent="0.4">
      <c r="A436" s="133"/>
      <c r="B436" s="131">
        <f t="shared" si="13"/>
        <v>432</v>
      </c>
      <c r="C436" s="129" t="str">
        <f t="shared" si="12"/>
        <v>Ressources en personnel et connaissances techniques insuffisantes</v>
      </c>
      <c r="D436" s="107"/>
      <c r="E436" s="318"/>
      <c r="F436" s="311" t="s">
        <v>413</v>
      </c>
      <c r="G436" s="319" t="s">
        <v>154</v>
      </c>
      <c r="H436" s="320" t="s">
        <v>1222</v>
      </c>
    </row>
    <row r="437" spans="1:8" ht="15" customHeight="1" x14ac:dyDescent="0.4">
      <c r="A437" s="133"/>
      <c r="B437" s="131">
        <f t="shared" si="13"/>
        <v>433</v>
      </c>
      <c r="C437" s="129" t="str">
        <f t="shared" si="12"/>
        <v>Incertitudes liées à la motivation et à la modification comportementale des groupes cibles ayant une incidence sur les économies d'électricité.</v>
      </c>
      <c r="D437" s="107"/>
      <c r="E437" s="318"/>
      <c r="F437" s="311" t="s">
        <v>414</v>
      </c>
      <c r="G437" s="319" t="s">
        <v>10</v>
      </c>
      <c r="H437" s="320" t="s">
        <v>1223</v>
      </c>
    </row>
    <row r="438" spans="1:8" ht="15" customHeight="1" x14ac:dyDescent="0.4">
      <c r="A438" s="133"/>
      <c r="B438" s="131">
        <f t="shared" si="13"/>
        <v>434</v>
      </c>
      <c r="C438" s="129" t="str">
        <f t="shared" si="12"/>
        <v>Incertitudes techniques d’exploitation (́pannes, mauvaise efficacité)</v>
      </c>
      <c r="D438" s="107"/>
      <c r="E438" s="318"/>
      <c r="F438" s="311" t="s">
        <v>415</v>
      </c>
      <c r="G438" s="319" t="s">
        <v>11</v>
      </c>
      <c r="H438" s="320" t="s">
        <v>1224</v>
      </c>
    </row>
    <row r="439" spans="1:8" ht="15" customHeight="1" x14ac:dyDescent="0.4">
      <c r="A439" s="133"/>
      <c r="B439" s="131">
        <f t="shared" si="13"/>
        <v>435</v>
      </c>
      <c r="C439" s="129" t="str">
        <f t="shared" si="12"/>
        <v>Risque financier maximal (coûts non dépendants de la mise en œuvre) en cas d'échec du programme</v>
      </c>
      <c r="D439" s="107"/>
      <c r="E439" s="318"/>
      <c r="F439" s="311" t="s">
        <v>892</v>
      </c>
      <c r="G439" s="319" t="s">
        <v>545</v>
      </c>
      <c r="H439" s="320" t="s">
        <v>1225</v>
      </c>
    </row>
    <row r="440" spans="1:8" ht="15" customHeight="1" x14ac:dyDescent="0.4">
      <c r="A440" s="133"/>
      <c r="B440" s="131">
        <f t="shared" si="13"/>
        <v>436</v>
      </c>
      <c r="C440" s="129">
        <f t="shared" si="12"/>
        <v>0</v>
      </c>
      <c r="D440" s="107"/>
      <c r="E440" s="318"/>
      <c r="F440" s="311"/>
      <c r="G440" s="319"/>
      <c r="H440" s="320"/>
    </row>
    <row r="441" spans="1:8" ht="15" customHeight="1" x14ac:dyDescent="0.4">
      <c r="A441" s="130" t="s">
        <v>745</v>
      </c>
      <c r="B441" s="131">
        <f t="shared" si="13"/>
        <v>437</v>
      </c>
      <c r="C441" s="129">
        <f t="shared" si="12"/>
        <v>0</v>
      </c>
      <c r="D441" s="107"/>
      <c r="E441" s="318"/>
      <c r="F441" s="311"/>
      <c r="G441" s="319"/>
      <c r="H441" s="320"/>
    </row>
    <row r="442" spans="1:8" ht="15" customHeight="1" x14ac:dyDescent="0.4">
      <c r="A442" s="133" t="s">
        <v>705</v>
      </c>
      <c r="B442" s="131">
        <f t="shared" si="13"/>
        <v>438</v>
      </c>
      <c r="C442" s="129" t="str">
        <f t="shared" si="12"/>
        <v>Effet de renforcement</v>
      </c>
      <c r="D442" s="107"/>
      <c r="E442" s="318"/>
      <c r="F442" s="311" t="s">
        <v>416</v>
      </c>
      <c r="G442" s="319" t="s">
        <v>782</v>
      </c>
      <c r="H442" s="320" t="s">
        <v>1226</v>
      </c>
    </row>
    <row r="443" spans="1:8" ht="15" customHeight="1" x14ac:dyDescent="0.4">
      <c r="A443" s="133" t="s">
        <v>637</v>
      </c>
      <c r="B443" s="131">
        <f t="shared" si="13"/>
        <v>439</v>
      </c>
      <c r="C443" s="129" t="str">
        <f t="shared" si="12"/>
        <v>Existe-t-il un effet de renforcement et si oui, quel est-il?</v>
      </c>
      <c r="D443" s="107"/>
      <c r="E443" s="318"/>
      <c r="F443" s="311" t="s">
        <v>487</v>
      </c>
      <c r="G443" s="319" t="s">
        <v>13</v>
      </c>
      <c r="H443" s="320" t="s">
        <v>1227</v>
      </c>
    </row>
    <row r="444" spans="1:8" ht="15" customHeight="1" x14ac:dyDescent="0.4">
      <c r="A444" s="133" t="s">
        <v>707</v>
      </c>
      <c r="B444" s="131">
        <f t="shared" si="13"/>
        <v>440</v>
      </c>
      <c r="C444" s="129" t="str">
        <f t="shared" si="12"/>
        <v>Dynamique autonome</v>
      </c>
      <c r="D444" s="107"/>
      <c r="E444" s="318"/>
      <c r="F444" s="311" t="s">
        <v>417</v>
      </c>
      <c r="G444" s="319" t="s">
        <v>783</v>
      </c>
      <c r="H444" s="320" t="s">
        <v>1228</v>
      </c>
    </row>
    <row r="445" spans="1:8" ht="15" customHeight="1" x14ac:dyDescent="0.4">
      <c r="A445" s="133" t="s">
        <v>708</v>
      </c>
      <c r="B445" s="131">
        <f t="shared" si="13"/>
        <v>441</v>
      </c>
      <c r="C445" s="129" t="str">
        <f t="shared" si="12"/>
        <v>Comment l'effet de dynamique autonome est-il atteint?</v>
      </c>
      <c r="D445" s="107"/>
      <c r="E445" s="318"/>
      <c r="F445" s="311" t="s">
        <v>488</v>
      </c>
      <c r="G445" s="319" t="s">
        <v>814</v>
      </c>
      <c r="H445" s="320" t="s">
        <v>1229</v>
      </c>
    </row>
    <row r="446" spans="1:8" ht="15" customHeight="1" x14ac:dyDescent="0.4">
      <c r="A446" s="133" t="s">
        <v>711</v>
      </c>
      <c r="B446" s="131">
        <f t="shared" si="13"/>
        <v>442</v>
      </c>
      <c r="C446" s="129" t="str">
        <f t="shared" si="12"/>
        <v>Effet d'innovation</v>
      </c>
      <c r="D446" s="107"/>
      <c r="E446" s="318"/>
      <c r="F446" s="311" t="s">
        <v>418</v>
      </c>
      <c r="G446" s="319" t="s">
        <v>784</v>
      </c>
      <c r="H446" s="320" t="s">
        <v>1230</v>
      </c>
    </row>
    <row r="447" spans="1:8" ht="15" customHeight="1" x14ac:dyDescent="0.4">
      <c r="A447" s="133" t="s">
        <v>721</v>
      </c>
      <c r="B447" s="131">
        <f t="shared" si="13"/>
        <v>443</v>
      </c>
      <c r="C447" s="129" t="str">
        <f t="shared" si="12"/>
        <v>Existe-t-il un effet d'innovation et si oui, quel est-il?</v>
      </c>
      <c r="D447" s="107"/>
      <c r="E447" s="318"/>
      <c r="F447" s="311" t="s">
        <v>489</v>
      </c>
      <c r="G447" s="319" t="s">
        <v>849</v>
      </c>
      <c r="H447" s="320" t="s">
        <v>1231</v>
      </c>
    </row>
    <row r="448" spans="1:8" ht="15" customHeight="1" x14ac:dyDescent="0.4">
      <c r="A448" s="133" t="s">
        <v>713</v>
      </c>
      <c r="B448" s="131">
        <f t="shared" si="13"/>
        <v>444</v>
      </c>
      <c r="C448" s="129" t="str">
        <f t="shared" si="12"/>
        <v>Effet d'incitation</v>
      </c>
      <c r="D448" s="107"/>
      <c r="E448" s="318"/>
      <c r="F448" s="311" t="s">
        <v>419</v>
      </c>
      <c r="G448" s="319" t="s">
        <v>785</v>
      </c>
      <c r="H448" s="320" t="s">
        <v>1232</v>
      </c>
    </row>
    <row r="449" spans="1:8" ht="15" customHeight="1" x14ac:dyDescent="0.4">
      <c r="A449" s="133" t="s">
        <v>715</v>
      </c>
      <c r="B449" s="131">
        <f t="shared" si="13"/>
        <v>445</v>
      </c>
      <c r="C449" s="129" t="str">
        <f t="shared" si="12"/>
        <v>Quel effet d'incitation peut-on attendre du programme?</v>
      </c>
      <c r="D449" s="107"/>
      <c r="E449" s="318"/>
      <c r="F449" s="311" t="s">
        <v>490</v>
      </c>
      <c r="G449" s="319" t="s">
        <v>12</v>
      </c>
      <c r="H449" s="320" t="s">
        <v>1233</v>
      </c>
    </row>
    <row r="450" spans="1:8" ht="15" customHeight="1" x14ac:dyDescent="0.4">
      <c r="A450" s="133" t="s">
        <v>743</v>
      </c>
      <c r="B450" s="131">
        <f t="shared" si="13"/>
        <v>446</v>
      </c>
      <c r="C450" s="129" t="str">
        <f t="shared" si="12"/>
        <v>Les exigences supplémentaires ne doivent pas être nécessairement remplies, mais il en sera tenu compte avec une pondération de 0,1 lors de l’évaluation du programme.</v>
      </c>
      <c r="D450" s="107"/>
      <c r="E450" s="318"/>
      <c r="F450" s="311" t="s">
        <v>521</v>
      </c>
      <c r="G450" s="319" t="s">
        <v>110</v>
      </c>
      <c r="H450" s="320" t="s">
        <v>1234</v>
      </c>
    </row>
    <row r="451" spans="1:8" ht="15" customHeight="1" x14ac:dyDescent="0.4">
      <c r="A451" s="133" t="s">
        <v>729</v>
      </c>
      <c r="B451" s="131">
        <f t="shared" si="13"/>
        <v>447</v>
      </c>
      <c r="C451" s="129" t="str">
        <f t="shared" si="12"/>
        <v>Description de l'effet de renforcement des différentes mesures. 
Quelles mesures existantes ou prévues le programme soutient-il?</v>
      </c>
      <c r="D451" s="107"/>
      <c r="E451" s="318"/>
      <c r="F451" s="311" t="s">
        <v>491</v>
      </c>
      <c r="G451" s="319" t="s">
        <v>155</v>
      </c>
      <c r="H451" s="320" t="s">
        <v>1235</v>
      </c>
    </row>
    <row r="452" spans="1:8" ht="15" customHeight="1" x14ac:dyDescent="0.4">
      <c r="A452" s="133" t="s">
        <v>724</v>
      </c>
      <c r="B452" s="131">
        <f t="shared" si="13"/>
        <v>448</v>
      </c>
      <c r="C452" s="129" t="str">
        <f t="shared" si="12"/>
        <v>Description de l'effet de dynamique autonome des différentes mesures. 
Le programme a-t-il le potentiel de continuer à être réalisé à l'avenir sans le soutien des appels d'offres publics?</v>
      </c>
      <c r="D452" s="107"/>
      <c r="E452" s="318"/>
      <c r="F452" s="311" t="s">
        <v>492</v>
      </c>
      <c r="G452" s="319" t="s">
        <v>156</v>
      </c>
      <c r="H452" s="320" t="s">
        <v>1236</v>
      </c>
    </row>
    <row r="453" spans="1:8" ht="15" customHeight="1" x14ac:dyDescent="0.4">
      <c r="A453" s="133" t="s">
        <v>738</v>
      </c>
      <c r="B453" s="131">
        <f t="shared" si="13"/>
        <v>449</v>
      </c>
      <c r="C453" s="129" t="str">
        <f t="shared" ref="C453:C516" si="14">IF($B$1="f",F453,IF($B$1="d",G453,H453))</f>
        <v xml:space="preserve">Description de l'effet d'innovation des différentes mesures.
Le programme contribue-t-il à la maturation commerciale rapide de nouvelles technologies ou à la diffusion de technologies et de mesures d’efficacité novatrices? </v>
      </c>
      <c r="D453" s="107"/>
      <c r="E453" s="318"/>
      <c r="F453" s="311" t="s">
        <v>493</v>
      </c>
      <c r="G453" s="319" t="s">
        <v>157</v>
      </c>
      <c r="H453" s="320" t="s">
        <v>1237</v>
      </c>
    </row>
    <row r="454" spans="1:8" ht="15" customHeight="1" x14ac:dyDescent="0.4">
      <c r="A454" s="133" t="s">
        <v>727</v>
      </c>
      <c r="B454" s="131">
        <f t="shared" ref="B454:B517" si="15">B453+1</f>
        <v>450</v>
      </c>
      <c r="C454" s="129" t="str">
        <f t="shared" si="14"/>
        <v>Description de l'effet d'incitation des différentes mesures. 
Le programme est-il à même d’ancrer le thème de la consommation électrique efficace parmi les acteurs concernés?</v>
      </c>
      <c r="D454" s="107"/>
      <c r="E454" s="318"/>
      <c r="F454" s="311" t="s">
        <v>494</v>
      </c>
      <c r="G454" s="319" t="s">
        <v>111</v>
      </c>
      <c r="H454" s="320" t="s">
        <v>1238</v>
      </c>
    </row>
    <row r="455" spans="1:8" ht="15" customHeight="1" x14ac:dyDescent="0.4">
      <c r="A455" s="133"/>
      <c r="B455" s="131">
        <f t="shared" si="15"/>
        <v>451</v>
      </c>
      <c r="C455" s="129">
        <f t="shared" si="14"/>
        <v>0</v>
      </c>
      <c r="D455" s="107"/>
      <c r="E455" s="318"/>
      <c r="F455" s="311"/>
      <c r="G455" s="319"/>
      <c r="H455" s="320"/>
    </row>
    <row r="456" spans="1:8" ht="15" customHeight="1" x14ac:dyDescent="0.4">
      <c r="A456" s="133"/>
      <c r="B456" s="131">
        <f t="shared" si="15"/>
        <v>452</v>
      </c>
      <c r="C456" s="129">
        <f t="shared" si="14"/>
        <v>0</v>
      </c>
      <c r="D456" s="107"/>
      <c r="E456" s="318"/>
      <c r="F456" s="311"/>
      <c r="G456" s="319"/>
      <c r="H456" s="320"/>
    </row>
    <row r="457" spans="1:8" ht="15" customHeight="1" x14ac:dyDescent="0.4">
      <c r="A457" s="130" t="s">
        <v>549</v>
      </c>
      <c r="B457" s="131">
        <f t="shared" si="15"/>
        <v>453</v>
      </c>
      <c r="C457" s="129">
        <f t="shared" si="14"/>
        <v>0</v>
      </c>
      <c r="D457" s="107"/>
      <c r="E457" s="318"/>
      <c r="F457" s="311"/>
      <c r="G457" s="319"/>
      <c r="H457" s="320"/>
    </row>
    <row r="458" spans="1:8" ht="15" customHeight="1" x14ac:dyDescent="0.4">
      <c r="A458" s="133" t="s">
        <v>705</v>
      </c>
      <c r="B458" s="131">
        <f t="shared" si="15"/>
        <v>454</v>
      </c>
      <c r="C458" s="129" t="str">
        <f t="shared" si="14"/>
        <v>Pas de mise en œuvre sans le programme</v>
      </c>
      <c r="D458" s="107"/>
      <c r="E458" s="318"/>
      <c r="F458" s="311" t="s">
        <v>420</v>
      </c>
      <c r="G458" s="319" t="s">
        <v>786</v>
      </c>
      <c r="H458" s="320" t="s">
        <v>1239</v>
      </c>
    </row>
    <row r="459" spans="1:8" ht="15" customHeight="1" x14ac:dyDescent="0.4">
      <c r="A459" s="133" t="s">
        <v>637</v>
      </c>
      <c r="B459" s="131">
        <f t="shared" si="15"/>
        <v>455</v>
      </c>
      <c r="C459" s="129" t="str">
        <f t="shared" si="14"/>
        <v>Pourquoi le programme ou les mesures ne sont-ils pas mis en œuvre en l'absence d'adjudication?</v>
      </c>
      <c r="D459" s="107"/>
      <c r="E459" s="318"/>
      <c r="F459" s="311" t="s">
        <v>495</v>
      </c>
      <c r="G459" s="319" t="s">
        <v>815</v>
      </c>
      <c r="H459" s="320" t="s">
        <v>1240</v>
      </c>
    </row>
    <row r="460" spans="1:8" ht="15" customHeight="1" x14ac:dyDescent="0.4">
      <c r="A460" s="133" t="s">
        <v>707</v>
      </c>
      <c r="B460" s="131">
        <f t="shared" si="15"/>
        <v>456</v>
      </c>
      <c r="C460" s="129" t="str">
        <f t="shared" si="14"/>
        <v>Additionnalité du programme</v>
      </c>
      <c r="D460" s="107"/>
      <c r="E460" s="318"/>
      <c r="F460" s="311" t="s">
        <v>421</v>
      </c>
      <c r="G460" s="319" t="s">
        <v>787</v>
      </c>
      <c r="H460" s="320" t="s">
        <v>1241</v>
      </c>
    </row>
    <row r="461" spans="1:8" ht="15" customHeight="1" x14ac:dyDescent="0.4">
      <c r="A461" s="133" t="s">
        <v>708</v>
      </c>
      <c r="B461" s="131">
        <f t="shared" si="15"/>
        <v>457</v>
      </c>
      <c r="C461" s="129" t="str">
        <f t="shared" si="14"/>
        <v>Quel est l'effet de la contribution financière sur le programme et comment éviter un éventuel effet d’éviction sur les moyens alloués aux programmes existants?</v>
      </c>
      <c r="D461" s="107"/>
      <c r="E461" s="318"/>
      <c r="F461" s="311" t="s">
        <v>496</v>
      </c>
      <c r="G461" s="319" t="s">
        <v>14</v>
      </c>
      <c r="H461" s="320" t="s">
        <v>1242</v>
      </c>
    </row>
    <row r="462" spans="1:8" ht="15" customHeight="1" x14ac:dyDescent="0.4">
      <c r="A462" s="133" t="s">
        <v>711</v>
      </c>
      <c r="B462" s="131">
        <f t="shared" si="15"/>
        <v>458</v>
      </c>
      <c r="C462" s="129" t="str">
        <f t="shared" si="14"/>
        <v>Additionnalité des mesures d'efficacité</v>
      </c>
      <c r="D462" s="107"/>
      <c r="E462" s="318"/>
      <c r="F462" s="311" t="s">
        <v>422</v>
      </c>
      <c r="G462" s="319" t="s">
        <v>788</v>
      </c>
      <c r="H462" s="320" t="s">
        <v>1243</v>
      </c>
    </row>
    <row r="463" spans="1:8" ht="15" customHeight="1" x14ac:dyDescent="0.4">
      <c r="A463" s="133" t="s">
        <v>721</v>
      </c>
      <c r="B463" s="131">
        <f t="shared" si="15"/>
        <v>459</v>
      </c>
      <c r="C463" s="129" t="str">
        <f t="shared" si="14"/>
        <v>Existe-t-il un rapport entre les entraves et les prestations offertes par le programme?</v>
      </c>
      <c r="D463" s="107"/>
      <c r="E463" s="318"/>
      <c r="F463" s="311" t="s">
        <v>497</v>
      </c>
      <c r="G463" s="319" t="s">
        <v>823</v>
      </c>
      <c r="H463" s="320" t="s">
        <v>1244</v>
      </c>
    </row>
    <row r="464" spans="1:8" ht="15" customHeight="1" x14ac:dyDescent="0.4">
      <c r="A464" s="133" t="s">
        <v>729</v>
      </c>
      <c r="B464" s="131">
        <f t="shared" si="15"/>
        <v>460</v>
      </c>
      <c r="C464" s="129" t="str">
        <f t="shared" si="14"/>
        <v>Fourniture de la preuve que le programme ne pourrait pas se réaliser ou pas dans la même mesure sans l'adjudication des appels d'offres publics.</v>
      </c>
      <c r="D464" s="107"/>
      <c r="E464" s="318"/>
      <c r="F464" s="311" t="s">
        <v>423</v>
      </c>
      <c r="G464" s="319" t="s">
        <v>164</v>
      </c>
      <c r="H464" s="320" t="s">
        <v>1245</v>
      </c>
    </row>
    <row r="465" spans="1:8" ht="15" customHeight="1" x14ac:dyDescent="0.4">
      <c r="A465" s="133" t="s">
        <v>724</v>
      </c>
      <c r="B465" s="131">
        <f t="shared" si="15"/>
        <v>461</v>
      </c>
      <c r="C465" s="129" t="str">
        <f t="shared" si="14"/>
        <v>Justification du fait que le programme ne peut pas être réalisé ou pas avec l'ampleur visée sans la contribution financière sollicitée. Distinction claire avec les programmes existants et exclusion d'un effet d'éviction ou d'un amoindrissement des effets de programmes existants.</v>
      </c>
      <c r="D465" s="107"/>
      <c r="E465" s="318"/>
      <c r="F465" s="311" t="s">
        <v>424</v>
      </c>
      <c r="G465" s="319" t="s">
        <v>15</v>
      </c>
      <c r="H465" s="320" t="s">
        <v>1246</v>
      </c>
    </row>
    <row r="466" spans="1:8" ht="15" customHeight="1" x14ac:dyDescent="0.4">
      <c r="A466" s="133" t="s">
        <v>738</v>
      </c>
      <c r="B466" s="131">
        <f t="shared" si="15"/>
        <v>462</v>
      </c>
      <c r="C466" s="129" t="str">
        <f t="shared" si="14"/>
        <v>Explication des rapports entre les entraves existantes et les mesures proposées dans le programme. Les entraves pertinentes seront décrites et justifiées. Il s'agit en outre d'expliquer quelles parties des groupes cibles sont concernées par les entraves.</v>
      </c>
      <c r="D466" s="107"/>
      <c r="E466" s="318"/>
      <c r="F466" s="311" t="s">
        <v>425</v>
      </c>
      <c r="G466" s="319" t="s">
        <v>165</v>
      </c>
      <c r="H466" s="320" t="s">
        <v>1247</v>
      </c>
    </row>
    <row r="467" spans="1:8" ht="15" customHeight="1" x14ac:dyDescent="0.4">
      <c r="A467" s="133"/>
      <c r="B467" s="131">
        <f t="shared" si="15"/>
        <v>463</v>
      </c>
      <c r="C467" s="129">
        <f t="shared" si="14"/>
        <v>0</v>
      </c>
      <c r="D467" s="107"/>
      <c r="E467" s="318"/>
      <c r="F467" s="311"/>
      <c r="G467" s="319"/>
      <c r="H467" s="320"/>
    </row>
    <row r="468" spans="1:8" ht="15" customHeight="1" x14ac:dyDescent="0.4">
      <c r="A468" s="133"/>
      <c r="B468" s="131">
        <f t="shared" si="15"/>
        <v>464</v>
      </c>
      <c r="C468" s="129">
        <f t="shared" si="14"/>
        <v>0</v>
      </c>
      <c r="D468" s="107"/>
      <c r="E468" s="318"/>
      <c r="F468" s="311"/>
      <c r="G468" s="319"/>
      <c r="H468" s="320"/>
    </row>
    <row r="469" spans="1:8" ht="15" customHeight="1" x14ac:dyDescent="0.4">
      <c r="A469" s="130" t="s">
        <v>632</v>
      </c>
      <c r="B469" s="131">
        <f t="shared" si="15"/>
        <v>465</v>
      </c>
      <c r="C469" s="129">
        <f t="shared" si="14"/>
        <v>0</v>
      </c>
      <c r="D469" s="107"/>
      <c r="E469" s="318"/>
      <c r="F469" s="311"/>
      <c r="G469" s="319"/>
      <c r="H469" s="320"/>
    </row>
    <row r="470" spans="1:8" ht="15" customHeight="1" x14ac:dyDescent="0.4">
      <c r="A470" s="133" t="s">
        <v>705</v>
      </c>
      <c r="B470" s="131">
        <f t="shared" si="15"/>
        <v>466</v>
      </c>
      <c r="C470" s="129" t="str">
        <f t="shared" si="14"/>
        <v>Acceptation</v>
      </c>
      <c r="D470" s="107"/>
      <c r="E470" s="318"/>
      <c r="F470" s="311" t="s">
        <v>426</v>
      </c>
      <c r="G470" s="319" t="s">
        <v>66</v>
      </c>
      <c r="H470" s="320" t="s">
        <v>1248</v>
      </c>
    </row>
    <row r="471" spans="1:8" ht="15" customHeight="1" x14ac:dyDescent="0.4">
      <c r="A471" s="133" t="s">
        <v>637</v>
      </c>
      <c r="B471" s="131">
        <f t="shared" si="15"/>
        <v>467</v>
      </c>
      <c r="C471" s="129" t="str">
        <f t="shared" si="14"/>
        <v>Le requérant confirme en écrivant OUI et en apposant une signature valide légalement qu'il a lu et accepté les «Conditions pour la soumission des projets et programmes en 2019».</v>
      </c>
      <c r="D471" s="107"/>
      <c r="E471" s="318"/>
      <c r="F471" s="311" t="s">
        <v>1925</v>
      </c>
      <c r="G471" s="319" t="s">
        <v>1926</v>
      </c>
      <c r="H471" s="320" t="s">
        <v>1927</v>
      </c>
    </row>
    <row r="472" spans="1:8" ht="15" customHeight="1" x14ac:dyDescent="0.4">
      <c r="A472" s="133" t="s">
        <v>707</v>
      </c>
      <c r="B472" s="131">
        <f t="shared" si="15"/>
        <v>468</v>
      </c>
      <c r="C472" s="129" t="str">
        <f t="shared" si="14"/>
        <v>Les indications sont exactes, complètes et vérifiables</v>
      </c>
      <c r="D472" s="107"/>
      <c r="E472" s="318"/>
      <c r="F472" s="311" t="s">
        <v>427</v>
      </c>
      <c r="G472" s="319" t="s">
        <v>67</v>
      </c>
      <c r="H472" s="320" t="s">
        <v>1249</v>
      </c>
    </row>
    <row r="473" spans="1:8" ht="15" customHeight="1" x14ac:dyDescent="0.4">
      <c r="A473" s="133" t="s">
        <v>708</v>
      </c>
      <c r="B473" s="131">
        <f t="shared" si="15"/>
        <v>469</v>
      </c>
      <c r="C473" s="129" t="str">
        <f t="shared" si="14"/>
        <v>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v>
      </c>
      <c r="D473" s="107"/>
      <c r="E473" s="318"/>
      <c r="F473" s="311" t="s">
        <v>428</v>
      </c>
      <c r="G473" s="319" t="s">
        <v>789</v>
      </c>
      <c r="H473" s="320" t="s">
        <v>1250</v>
      </c>
    </row>
    <row r="474" spans="1:8" ht="15" customHeight="1" x14ac:dyDescent="0.4">
      <c r="A474" s="133" t="s">
        <v>712</v>
      </c>
      <c r="B474" s="131">
        <f t="shared" si="15"/>
        <v>470</v>
      </c>
      <c r="C474" s="129" t="str">
        <f t="shared" si="14"/>
        <v>Signature</v>
      </c>
      <c r="D474" s="107"/>
      <c r="E474" s="318"/>
      <c r="F474" s="311" t="s">
        <v>429</v>
      </c>
      <c r="G474" s="319" t="s">
        <v>68</v>
      </c>
      <c r="H474" s="320" t="s">
        <v>1251</v>
      </c>
    </row>
    <row r="475" spans="1:8" ht="15" customHeight="1" x14ac:dyDescent="0.4">
      <c r="A475" s="133" t="s">
        <v>713</v>
      </c>
      <c r="B475" s="131">
        <f t="shared" si="15"/>
        <v>471</v>
      </c>
      <c r="C475" s="129" t="str">
        <f t="shared" si="14"/>
        <v>Lieu, date</v>
      </c>
      <c r="D475" s="107"/>
      <c r="E475" s="318"/>
      <c r="F475" s="311" t="s">
        <v>430</v>
      </c>
      <c r="G475" s="319" t="s">
        <v>69</v>
      </c>
      <c r="H475" s="320" t="s">
        <v>1252</v>
      </c>
    </row>
    <row r="476" spans="1:8" ht="15" customHeight="1" x14ac:dyDescent="0.4">
      <c r="A476" s="133" t="s">
        <v>718</v>
      </c>
      <c r="B476" s="131">
        <f t="shared" si="15"/>
        <v>472</v>
      </c>
      <c r="C476" s="129" t="str">
        <f t="shared" si="14"/>
        <v>Signature(s) authentique(s) du requérant</v>
      </c>
      <c r="D476" s="107"/>
      <c r="E476" s="318"/>
      <c r="F476" s="311" t="s">
        <v>431</v>
      </c>
      <c r="G476" s="319" t="s">
        <v>70</v>
      </c>
      <c r="H476" s="320" t="s">
        <v>1253</v>
      </c>
    </row>
    <row r="477" spans="1:8" ht="15" customHeight="1" x14ac:dyDescent="0.4">
      <c r="A477" s="133" t="s">
        <v>729</v>
      </c>
      <c r="B477" s="131">
        <f t="shared" si="15"/>
        <v>473</v>
      </c>
      <c r="C477" s="129" t="str">
        <f t="shared" si="14"/>
        <v>L'appel d'offres et les conditions pour la soumission des projets et programmes en 2019 à respecter impérativement peuvent être téléchargés sur le site www.prokw.ch.</v>
      </c>
      <c r="D477" s="107"/>
      <c r="E477" s="318"/>
      <c r="F477" s="311" t="s">
        <v>1928</v>
      </c>
      <c r="G477" s="319" t="s">
        <v>1929</v>
      </c>
      <c r="H477" s="320" t="s">
        <v>1930</v>
      </c>
    </row>
    <row r="478" spans="1:8" ht="15" customHeight="1" x14ac:dyDescent="0.4">
      <c r="A478" s="133"/>
      <c r="B478" s="131">
        <f t="shared" si="15"/>
        <v>474</v>
      </c>
      <c r="C478" s="129">
        <f t="shared" si="14"/>
        <v>0</v>
      </c>
      <c r="D478" s="107"/>
      <c r="E478" s="318"/>
      <c r="F478" s="311"/>
      <c r="G478" s="319"/>
      <c r="H478" s="320"/>
    </row>
    <row r="479" spans="1:8" ht="15" customHeight="1" x14ac:dyDescent="0.4">
      <c r="A479" s="133"/>
      <c r="B479" s="131">
        <f t="shared" si="15"/>
        <v>475</v>
      </c>
      <c r="C479" s="129">
        <f t="shared" si="14"/>
        <v>0</v>
      </c>
      <c r="D479" s="107"/>
      <c r="E479" s="318"/>
      <c r="F479" s="311"/>
      <c r="G479" s="319"/>
      <c r="H479" s="320"/>
    </row>
    <row r="480" spans="1:8" ht="15" customHeight="1" x14ac:dyDescent="0.4">
      <c r="A480" s="130" t="s">
        <v>599</v>
      </c>
      <c r="B480" s="131">
        <f t="shared" si="15"/>
        <v>476</v>
      </c>
      <c r="C480" s="129">
        <f t="shared" si="14"/>
        <v>0</v>
      </c>
      <c r="D480" s="107"/>
      <c r="E480" s="318"/>
      <c r="F480" s="311"/>
      <c r="G480" s="319"/>
      <c r="H480" s="320"/>
    </row>
    <row r="481" spans="1:8" ht="15" customHeight="1" x14ac:dyDescent="0.4">
      <c r="A481" s="133" t="s">
        <v>705</v>
      </c>
      <c r="B481" s="131">
        <f t="shared" si="15"/>
        <v>477</v>
      </c>
      <c r="C481" s="129" t="str">
        <f t="shared" si="14"/>
        <v>Annexes</v>
      </c>
      <c r="D481" s="107"/>
      <c r="E481" s="318"/>
      <c r="F481" s="311" t="s">
        <v>432</v>
      </c>
      <c r="G481" s="319" t="s">
        <v>102</v>
      </c>
      <c r="H481" s="320" t="s">
        <v>1254</v>
      </c>
    </row>
    <row r="482" spans="1:8" ht="15" customHeight="1" x14ac:dyDescent="0.4">
      <c r="A482" s="133" t="s">
        <v>637</v>
      </c>
      <c r="B482" s="131">
        <f t="shared" si="15"/>
        <v>478</v>
      </c>
      <c r="C482" s="129" t="str">
        <f t="shared" si="14"/>
        <v>Annexe 1</v>
      </c>
      <c r="D482" s="107"/>
      <c r="E482" s="318"/>
      <c r="F482" s="311" t="s">
        <v>433</v>
      </c>
      <c r="G482" s="319" t="s">
        <v>48</v>
      </c>
      <c r="H482" s="320" t="s">
        <v>1255</v>
      </c>
    </row>
    <row r="483" spans="1:8" ht="15" customHeight="1" x14ac:dyDescent="0.4">
      <c r="A483" s="133" t="s">
        <v>707</v>
      </c>
      <c r="B483" s="131">
        <f t="shared" si="15"/>
        <v>479</v>
      </c>
      <c r="C483" s="129" t="str">
        <f t="shared" si="14"/>
        <v>Annexe 2</v>
      </c>
      <c r="D483" s="107"/>
      <c r="E483" s="318"/>
      <c r="F483" s="311" t="s">
        <v>434</v>
      </c>
      <c r="G483" s="319" t="s">
        <v>49</v>
      </c>
      <c r="H483" s="320" t="s">
        <v>1256</v>
      </c>
    </row>
    <row r="484" spans="1:8" ht="15" customHeight="1" x14ac:dyDescent="0.4">
      <c r="A484" s="133" t="s">
        <v>709</v>
      </c>
      <c r="B484" s="131">
        <f t="shared" si="15"/>
        <v>480</v>
      </c>
      <c r="C484" s="129" t="str">
        <f t="shared" si="14"/>
        <v>Annexe 3</v>
      </c>
      <c r="D484" s="107"/>
      <c r="E484" s="318"/>
      <c r="F484" s="311" t="s">
        <v>435</v>
      </c>
      <c r="G484" s="319" t="s">
        <v>50</v>
      </c>
      <c r="H484" s="320" t="s">
        <v>1257</v>
      </c>
    </row>
    <row r="485" spans="1:8" ht="15" customHeight="1" x14ac:dyDescent="0.4">
      <c r="A485" s="133" t="s">
        <v>721</v>
      </c>
      <c r="B485" s="131">
        <f t="shared" si="15"/>
        <v>481</v>
      </c>
      <c r="C485" s="129" t="str">
        <f t="shared" si="14"/>
        <v>Annexe 4</v>
      </c>
      <c r="D485" s="107"/>
      <c r="E485" s="318"/>
      <c r="F485" s="311" t="s">
        <v>436</v>
      </c>
      <c r="G485" s="319" t="s">
        <v>51</v>
      </c>
      <c r="H485" s="320" t="s">
        <v>1258</v>
      </c>
    </row>
    <row r="486" spans="1:8" ht="15" customHeight="1" x14ac:dyDescent="0.4">
      <c r="A486" s="133" t="s">
        <v>713</v>
      </c>
      <c r="B486" s="131">
        <f t="shared" si="15"/>
        <v>482</v>
      </c>
      <c r="C486" s="129" t="str">
        <f t="shared" si="14"/>
        <v>Annexe 5</v>
      </c>
      <c r="D486" s="107"/>
      <c r="E486" s="318"/>
      <c r="F486" s="311" t="s">
        <v>437</v>
      </c>
      <c r="G486" s="319" t="s">
        <v>52</v>
      </c>
      <c r="H486" s="320" t="s">
        <v>1259</v>
      </c>
    </row>
    <row r="487" spans="1:8" ht="15" customHeight="1" x14ac:dyDescent="0.4">
      <c r="A487" s="133" t="s">
        <v>716</v>
      </c>
      <c r="B487" s="131">
        <f t="shared" si="15"/>
        <v>483</v>
      </c>
      <c r="C487" s="129" t="str">
        <f t="shared" si="14"/>
        <v>Annexe 6</v>
      </c>
      <c r="D487" s="107"/>
      <c r="E487" s="318"/>
      <c r="F487" s="311" t="s">
        <v>438</v>
      </c>
      <c r="G487" s="319" t="s">
        <v>53</v>
      </c>
      <c r="H487" s="320" t="s">
        <v>1260</v>
      </c>
    </row>
    <row r="488" spans="1:8" ht="15" customHeight="1" x14ac:dyDescent="0.4">
      <c r="A488" s="133" t="s">
        <v>701</v>
      </c>
      <c r="B488" s="131">
        <f t="shared" si="15"/>
        <v>484</v>
      </c>
      <c r="C488" s="129" t="str">
        <f t="shared" si="14"/>
        <v>Annexe 7</v>
      </c>
      <c r="D488" s="107"/>
      <c r="E488" s="318"/>
      <c r="F488" s="311" t="s">
        <v>439</v>
      </c>
      <c r="G488" s="319" t="s">
        <v>54</v>
      </c>
      <c r="H488" s="320" t="s">
        <v>1261</v>
      </c>
    </row>
    <row r="489" spans="1:8" ht="15" customHeight="1" x14ac:dyDescent="0.4">
      <c r="A489" s="133" t="s">
        <v>702</v>
      </c>
      <c r="B489" s="131">
        <f t="shared" si="15"/>
        <v>485</v>
      </c>
      <c r="C489" s="129" t="str">
        <f t="shared" si="14"/>
        <v>Annexe 8</v>
      </c>
      <c r="D489" s="107"/>
      <c r="E489" s="318"/>
      <c r="F489" s="311" t="s">
        <v>440</v>
      </c>
      <c r="G489" s="319" t="s">
        <v>55</v>
      </c>
      <c r="H489" s="320" t="s">
        <v>1262</v>
      </c>
    </row>
    <row r="490" spans="1:8" ht="15" customHeight="1" x14ac:dyDescent="0.4">
      <c r="A490" s="133" t="s">
        <v>652</v>
      </c>
      <c r="B490" s="131">
        <f t="shared" si="15"/>
        <v>486</v>
      </c>
      <c r="C490" s="129" t="str">
        <f t="shared" si="14"/>
        <v>Annexe 9</v>
      </c>
      <c r="D490" s="107"/>
      <c r="E490" s="318"/>
      <c r="F490" s="311" t="s">
        <v>441</v>
      </c>
      <c r="G490" s="319" t="s">
        <v>56</v>
      </c>
      <c r="H490" s="320" t="s">
        <v>1263</v>
      </c>
    </row>
    <row r="491" spans="1:8" ht="15" customHeight="1" x14ac:dyDescent="0.4">
      <c r="A491" s="133" t="s">
        <v>704</v>
      </c>
      <c r="B491" s="131">
        <f t="shared" si="15"/>
        <v>487</v>
      </c>
      <c r="C491" s="129" t="str">
        <f t="shared" si="14"/>
        <v>Annexe 10</v>
      </c>
      <c r="D491" s="107"/>
      <c r="E491" s="318"/>
      <c r="F491" s="311" t="s">
        <v>442</v>
      </c>
      <c r="G491" s="319" t="s">
        <v>57</v>
      </c>
      <c r="H491" s="320" t="s">
        <v>1264</v>
      </c>
    </row>
    <row r="492" spans="1:8" ht="15" customHeight="1" x14ac:dyDescent="0.4">
      <c r="A492" s="133" t="s">
        <v>730</v>
      </c>
      <c r="B492" s="131">
        <f t="shared" si="15"/>
        <v>488</v>
      </c>
      <c r="C492" s="129" t="str">
        <f t="shared" si="14"/>
        <v>Description du programme</v>
      </c>
      <c r="D492" s="107"/>
      <c r="E492" s="318"/>
      <c r="F492" s="311" t="s">
        <v>263</v>
      </c>
      <c r="G492" s="319" t="s">
        <v>101</v>
      </c>
      <c r="H492" s="320" t="s">
        <v>1265</v>
      </c>
    </row>
    <row r="493" spans="1:8" ht="15" customHeight="1" x14ac:dyDescent="0.4">
      <c r="A493" s="133" t="s">
        <v>729</v>
      </c>
      <c r="B493" s="131">
        <f t="shared" si="15"/>
        <v>489</v>
      </c>
      <c r="C493" s="129" t="str">
        <f t="shared" si="14"/>
        <v>Titre de l'annexe</v>
      </c>
      <c r="D493" s="107"/>
      <c r="E493" s="318"/>
      <c r="F493" s="311" t="s">
        <v>443</v>
      </c>
      <c r="G493" s="319" t="s">
        <v>104</v>
      </c>
      <c r="H493" s="320" t="s">
        <v>1266</v>
      </c>
    </row>
    <row r="494" spans="1:8" ht="15" customHeight="1" x14ac:dyDescent="0.4">
      <c r="A494" s="133" t="s">
        <v>722</v>
      </c>
      <c r="B494" s="131">
        <f t="shared" si="15"/>
        <v>490</v>
      </c>
      <c r="C494" s="129" t="str">
        <f t="shared" si="14"/>
        <v>Brève description du contenu de l'annexe</v>
      </c>
      <c r="D494" s="107"/>
      <c r="E494" s="318"/>
      <c r="F494" s="311" t="s">
        <v>444</v>
      </c>
      <c r="G494" s="319" t="s">
        <v>105</v>
      </c>
      <c r="H494" s="320" t="s">
        <v>1267</v>
      </c>
    </row>
    <row r="495" spans="1:8" ht="15" customHeight="1" x14ac:dyDescent="0.4">
      <c r="A495" s="133"/>
      <c r="B495" s="131">
        <f t="shared" si="15"/>
        <v>491</v>
      </c>
      <c r="C495" s="129">
        <f t="shared" si="14"/>
        <v>0</v>
      </c>
      <c r="D495" s="107"/>
      <c r="E495" s="318"/>
      <c r="F495" s="311"/>
      <c r="G495" s="319"/>
      <c r="H495" s="320"/>
    </row>
    <row r="496" spans="1:8" ht="15" customHeight="1" x14ac:dyDescent="0.4">
      <c r="A496" s="130" t="s">
        <v>106</v>
      </c>
      <c r="B496" s="131">
        <f t="shared" si="15"/>
        <v>492</v>
      </c>
      <c r="C496" s="129">
        <f t="shared" si="14"/>
        <v>0</v>
      </c>
      <c r="D496" s="107"/>
      <c r="E496" s="318"/>
      <c r="F496" s="311"/>
      <c r="G496" s="319"/>
      <c r="H496" s="320"/>
    </row>
    <row r="497" spans="1:8" ht="15" customHeight="1" x14ac:dyDescent="0.4">
      <c r="A497" s="133" t="s">
        <v>705</v>
      </c>
      <c r="B497" s="131">
        <f t="shared" si="15"/>
        <v>493</v>
      </c>
      <c r="C497" s="129" t="str">
        <f t="shared" si="14"/>
        <v>Remarques concernant la demande</v>
      </c>
      <c r="D497" s="107"/>
      <c r="E497" s="318"/>
      <c r="F497" s="311" t="s">
        <v>445</v>
      </c>
      <c r="G497" s="319" t="s">
        <v>818</v>
      </c>
      <c r="H497" s="320" t="s">
        <v>1268</v>
      </c>
    </row>
    <row r="498" spans="1:8" ht="15" customHeight="1" x14ac:dyDescent="0.4">
      <c r="A498" s="133" t="s">
        <v>707</v>
      </c>
      <c r="B498" s="131">
        <f t="shared" si="15"/>
        <v>494</v>
      </c>
      <c r="C498" s="129" t="str">
        <f t="shared" si="14"/>
        <v>Suggestions concernant les documents de l'appel d'offres</v>
      </c>
      <c r="D498" s="107"/>
      <c r="E498" s="318"/>
      <c r="F498" s="311" t="s">
        <v>446</v>
      </c>
      <c r="G498" s="319" t="s">
        <v>817</v>
      </c>
      <c r="H498" s="320" t="s">
        <v>1269</v>
      </c>
    </row>
    <row r="499" spans="1:8" ht="15" customHeight="1" x14ac:dyDescent="0.4">
      <c r="A499" s="133"/>
      <c r="B499" s="131">
        <f t="shared" si="15"/>
        <v>495</v>
      </c>
      <c r="C499" s="129">
        <f t="shared" si="14"/>
        <v>0</v>
      </c>
      <c r="D499" s="107"/>
      <c r="E499" s="318"/>
      <c r="F499" s="313"/>
      <c r="G499" s="325"/>
      <c r="H499" s="326"/>
    </row>
    <row r="500" spans="1:8" ht="15" customHeight="1" x14ac:dyDescent="0.4">
      <c r="A500" s="133"/>
      <c r="B500" s="131">
        <f t="shared" si="15"/>
        <v>496</v>
      </c>
      <c r="C500" s="129" t="str">
        <f t="shared" si="14"/>
        <v>Estimation des investissements totaux engendrés par le programme</v>
      </c>
      <c r="D500" s="107"/>
      <c r="E500" s="318"/>
      <c r="F500" s="311" t="s">
        <v>1272</v>
      </c>
      <c r="G500" s="319" t="s">
        <v>1273</v>
      </c>
      <c r="H500" s="320" t="s">
        <v>1274</v>
      </c>
    </row>
    <row r="501" spans="1:8" ht="15" customHeight="1" x14ac:dyDescent="0.4">
      <c r="A501" s="133"/>
      <c r="B501" s="131">
        <f t="shared" si="15"/>
        <v>497</v>
      </c>
      <c r="C501" s="129" t="str">
        <f t="shared" si="14"/>
        <v>Attention! Un changement ultérieur du choix de la langue peut entrainer des erreurs dans les cases à choix du document.</v>
      </c>
      <c r="D501" s="107"/>
      <c r="E501" s="318"/>
      <c r="F501" s="311" t="s">
        <v>1335</v>
      </c>
      <c r="G501" s="319" t="s">
        <v>1330</v>
      </c>
      <c r="H501" s="320" t="s">
        <v>1331</v>
      </c>
    </row>
    <row r="502" spans="1:8" ht="15" customHeight="1" x14ac:dyDescent="0.4">
      <c r="A502" s="133"/>
      <c r="B502" s="131">
        <f t="shared" si="15"/>
        <v>498</v>
      </c>
      <c r="C502" s="129" t="str">
        <f t="shared" si="14"/>
        <v>Dernière vérification avant l'impression, respectivement l'envoi de la demande :</v>
      </c>
      <c r="D502" s="107"/>
      <c r="E502" s="318"/>
      <c r="F502" s="311" t="s">
        <v>1341</v>
      </c>
      <c r="G502" s="319" t="s">
        <v>1334</v>
      </c>
      <c r="H502" s="320" t="s">
        <v>1344</v>
      </c>
    </row>
    <row r="503" spans="1:8" ht="15" customHeight="1" x14ac:dyDescent="0.4">
      <c r="A503" s="133"/>
      <c r="B503" s="131">
        <f t="shared" si="15"/>
        <v>499</v>
      </c>
      <c r="C503" s="129" t="str">
        <f t="shared" si="14"/>
        <v>- Aucune cellule dans le formulaire de demande n’est rouge!</v>
      </c>
      <c r="D503" s="107"/>
      <c r="E503" s="318"/>
      <c r="F503" s="310" t="s">
        <v>1342</v>
      </c>
      <c r="G503" s="319" t="s">
        <v>1337</v>
      </c>
      <c r="H503" s="327" t="s">
        <v>1345</v>
      </c>
    </row>
    <row r="504" spans="1:8" ht="15" customHeight="1" x14ac:dyDescent="0.4">
      <c r="A504" s="133"/>
      <c r="B504" s="131">
        <f t="shared" si="15"/>
        <v>500</v>
      </c>
      <c r="C504" s="129" t="str">
        <f t="shared" si="14"/>
        <v>- La preuve de l'économie d'électricité dans le dossier déposé est disponible, précise, compréhensible et transparente!</v>
      </c>
      <c r="D504" s="107"/>
      <c r="E504" s="318"/>
      <c r="F504" s="310" t="s">
        <v>1343</v>
      </c>
      <c r="G504" s="319" t="s">
        <v>1338</v>
      </c>
      <c r="H504" s="327" t="s">
        <v>1346</v>
      </c>
    </row>
    <row r="505" spans="1:8" ht="15" customHeight="1" x14ac:dyDescent="0.4">
      <c r="A505" s="133"/>
      <c r="B505" s="131">
        <f t="shared" si="15"/>
        <v>501</v>
      </c>
      <c r="C505" s="129">
        <f t="shared" si="14"/>
        <v>0</v>
      </c>
      <c r="D505" s="107"/>
      <c r="E505" s="318"/>
      <c r="F505" s="310"/>
      <c r="G505" s="319"/>
      <c r="H505" s="327"/>
    </row>
    <row r="506" spans="1:8" ht="15" customHeight="1" x14ac:dyDescent="0.4">
      <c r="A506" s="133"/>
      <c r="B506" s="131">
        <f t="shared" si="15"/>
        <v>502</v>
      </c>
      <c r="C506" s="129" t="str">
        <f t="shared" si="14"/>
        <v>- Le formulaire de demande est complètement rempli. La demande va être chargée avec le concept du programme et tous les autres documents sur le portail de soumission et transmise au Bureau ProKilowatt.</v>
      </c>
      <c r="D506" s="107"/>
      <c r="E506" s="318"/>
      <c r="F506" s="310" t="s">
        <v>1561</v>
      </c>
      <c r="G506" s="319" t="s">
        <v>1560</v>
      </c>
      <c r="H506" s="327" t="s">
        <v>1602</v>
      </c>
    </row>
    <row r="507" spans="1:8" ht="15" customHeight="1" x14ac:dyDescent="0.4">
      <c r="A507" s="133"/>
      <c r="B507" s="131">
        <f t="shared" si="15"/>
        <v>503</v>
      </c>
      <c r="C507" s="129" t="str">
        <f t="shared" si="14"/>
        <v>- La demande imprimée est signée!</v>
      </c>
      <c r="D507" s="107"/>
      <c r="E507" s="318"/>
      <c r="F507" s="310" t="s">
        <v>1336</v>
      </c>
      <c r="G507" s="319" t="s">
        <v>1339</v>
      </c>
      <c r="H507" s="327" t="s">
        <v>1347</v>
      </c>
    </row>
    <row r="508" spans="1:8" ht="15" customHeight="1" x14ac:dyDescent="0.4">
      <c r="A508" s="133"/>
      <c r="B508" s="131">
        <f t="shared" si="15"/>
        <v>504</v>
      </c>
      <c r="C508" s="129" t="str">
        <f t="shared" si="14"/>
        <v>en %</v>
      </c>
      <c r="D508" s="107"/>
      <c r="E508" s="318"/>
      <c r="F508" s="310" t="s">
        <v>1363</v>
      </c>
      <c r="G508" s="319" t="s">
        <v>1348</v>
      </c>
      <c r="H508" s="327" t="s">
        <v>1348</v>
      </c>
    </row>
    <row r="509" spans="1:8" ht="15" customHeight="1" x14ac:dyDescent="0.4">
      <c r="A509" s="133"/>
      <c r="B509" s="131">
        <f t="shared" si="15"/>
        <v>505</v>
      </c>
      <c r="C509" s="129" t="str">
        <f t="shared" si="14"/>
        <v>L’économie totale doit correspondre à la somme de 100%.</v>
      </c>
      <c r="D509" s="107"/>
      <c r="E509" s="318"/>
      <c r="F509" s="310" t="s">
        <v>1365</v>
      </c>
      <c r="G509" s="319" t="s">
        <v>1349</v>
      </c>
      <c r="H509" s="327" t="s">
        <v>1364</v>
      </c>
    </row>
    <row r="510" spans="1:8" ht="15" customHeight="1" x14ac:dyDescent="0.4">
      <c r="A510" s="133"/>
      <c r="B510" s="133"/>
      <c r="C510" s="129">
        <f t="shared" si="14"/>
        <v>0</v>
      </c>
      <c r="D510" s="133"/>
      <c r="E510" s="133"/>
      <c r="F510" s="133"/>
      <c r="G510" s="133"/>
      <c r="H510" s="133"/>
    </row>
    <row r="511" spans="1:8" ht="15" customHeight="1" x14ac:dyDescent="0.4">
      <c r="A511" s="133"/>
      <c r="B511" s="131">
        <f t="shared" si="15"/>
        <v>1</v>
      </c>
      <c r="C511" s="129" t="str">
        <f t="shared" si="14"/>
        <v>Statut du budget</v>
      </c>
      <c r="D511" s="107"/>
      <c r="E511" s="318"/>
      <c r="F511" s="310" t="s">
        <v>1466</v>
      </c>
      <c r="G511" s="319" t="s">
        <v>1383</v>
      </c>
      <c r="H511" s="327" t="s">
        <v>1504</v>
      </c>
    </row>
    <row r="512" spans="1:8" ht="15" customHeight="1" x14ac:dyDescent="0.4">
      <c r="A512" s="133"/>
      <c r="B512" s="131">
        <f t="shared" si="15"/>
        <v>2</v>
      </c>
      <c r="C512" s="129" t="str">
        <f t="shared" si="14"/>
        <v>La distinction des coûts est faite entre les coûts de gestion (administration), les coûts des mesures d'accompagnement et celui des mesures de soutien particulières à l'attention des clients cibles. Les champs vides sont remplis avec 0 CHF.</v>
      </c>
      <c r="D512" s="107"/>
      <c r="E512" s="318"/>
      <c r="F512" s="310" t="s">
        <v>1553</v>
      </c>
      <c r="G512" s="319" t="s">
        <v>1402</v>
      </c>
      <c r="H512" s="327" t="s">
        <v>1505</v>
      </c>
    </row>
    <row r="513" spans="1:8" ht="15" customHeight="1" x14ac:dyDescent="0.4">
      <c r="A513" s="133"/>
      <c r="B513" s="131">
        <f t="shared" si="15"/>
        <v>3</v>
      </c>
      <c r="C513" s="129" t="str">
        <f t="shared" si="14"/>
        <v>Nombre d'unités</v>
      </c>
      <c r="D513" s="107"/>
      <c r="E513" s="318"/>
      <c r="F513" s="310" t="s">
        <v>356</v>
      </c>
      <c r="G513" s="319" t="s">
        <v>840</v>
      </c>
      <c r="H513" s="327" t="s">
        <v>1119</v>
      </c>
    </row>
    <row r="514" spans="1:8" ht="15" customHeight="1" x14ac:dyDescent="0.4">
      <c r="A514" s="133"/>
      <c r="B514" s="131">
        <f t="shared" si="15"/>
        <v>4</v>
      </c>
      <c r="C514" s="129" t="str">
        <f t="shared" si="14"/>
        <v>Coût / unité</v>
      </c>
      <c r="D514" s="107"/>
      <c r="E514" s="318"/>
      <c r="F514" s="310" t="s">
        <v>1467</v>
      </c>
      <c r="G514" s="319" t="s">
        <v>1386</v>
      </c>
      <c r="H514" s="327" t="s">
        <v>1506</v>
      </c>
    </row>
    <row r="515" spans="1:8" ht="15" customHeight="1" x14ac:dyDescent="0.4">
      <c r="A515" s="133"/>
      <c r="B515" s="131">
        <f t="shared" si="15"/>
        <v>5</v>
      </c>
      <c r="C515" s="129" t="str">
        <f t="shared" si="14"/>
        <v>[CHF / unité]</v>
      </c>
      <c r="D515" s="107"/>
      <c r="E515" s="318"/>
      <c r="F515" s="310" t="s">
        <v>1468</v>
      </c>
      <c r="G515" s="319" t="s">
        <v>1374</v>
      </c>
      <c r="H515" s="327" t="s">
        <v>1507</v>
      </c>
    </row>
    <row r="516" spans="1:8" ht="15" customHeight="1" x14ac:dyDescent="0.4">
      <c r="A516" s="133"/>
      <c r="B516" s="131">
        <f t="shared" si="15"/>
        <v>6</v>
      </c>
      <c r="C516" s="129" t="str">
        <f t="shared" si="14"/>
        <v>Coûts de gestion (administration)</v>
      </c>
      <c r="D516" s="107"/>
      <c r="E516" s="318"/>
      <c r="F516" s="310" t="s">
        <v>1469</v>
      </c>
      <c r="G516" s="319" t="s">
        <v>1441</v>
      </c>
      <c r="H516" s="327" t="s">
        <v>1508</v>
      </c>
    </row>
    <row r="517" spans="1:8" ht="15" customHeight="1" x14ac:dyDescent="0.4">
      <c r="A517" s="133"/>
      <c r="B517" s="131">
        <f t="shared" si="15"/>
        <v>7</v>
      </c>
      <c r="C517" s="129" t="str">
        <f t="shared" ref="C517:C580" si="16">IF($B$1="f",F517,IF($B$1="d",G517,H517))</f>
        <v>Coût des mesures d'accompagnement</v>
      </c>
      <c r="D517" s="107"/>
      <c r="E517" s="318"/>
      <c r="F517" s="310" t="s">
        <v>1470</v>
      </c>
      <c r="G517" s="319" t="s">
        <v>1390</v>
      </c>
      <c r="H517" s="327" t="s">
        <v>1509</v>
      </c>
    </row>
    <row r="518" spans="1:8" ht="15" customHeight="1" x14ac:dyDescent="0.4">
      <c r="A518" s="133"/>
      <c r="B518" s="131">
        <f t="shared" ref="B518:B581" si="17">B517+1</f>
        <v>8</v>
      </c>
      <c r="C518" s="129" t="str">
        <f t="shared" si="16"/>
        <v>Gestion du programme</v>
      </c>
      <c r="D518" s="107"/>
      <c r="E518" s="318"/>
      <c r="F518" s="310" t="s">
        <v>393</v>
      </c>
      <c r="G518" s="319" t="s">
        <v>1391</v>
      </c>
      <c r="H518" s="327" t="s">
        <v>1162</v>
      </c>
    </row>
    <row r="519" spans="1:8" ht="15" customHeight="1" x14ac:dyDescent="0.4">
      <c r="A519" s="133"/>
      <c r="B519" s="131">
        <f t="shared" si="17"/>
        <v>9</v>
      </c>
      <c r="C519" s="129" t="str">
        <f t="shared" si="16"/>
        <v>Charges liées à l'administration générale du programme</v>
      </c>
      <c r="D519" s="107"/>
      <c r="E519" s="318"/>
      <c r="F519" s="310" t="s">
        <v>1551</v>
      </c>
      <c r="G519" s="319" t="s">
        <v>1372</v>
      </c>
      <c r="H519" s="327" t="s">
        <v>1510</v>
      </c>
    </row>
    <row r="520" spans="1:8" ht="15" customHeight="1" x14ac:dyDescent="0.4">
      <c r="A520" s="133"/>
      <c r="B520" s="131">
        <f t="shared" si="17"/>
        <v>10</v>
      </c>
      <c r="C520" s="129" t="str">
        <f t="shared" si="16"/>
        <v>Charges administratives des dossiers</v>
      </c>
      <c r="D520" s="107"/>
      <c r="E520" s="318"/>
      <c r="F520" s="310" t="s">
        <v>1471</v>
      </c>
      <c r="G520" s="319" t="s">
        <v>1373</v>
      </c>
      <c r="H520" s="327" t="s">
        <v>1511</v>
      </c>
    </row>
    <row r="521" spans="1:8" ht="15" customHeight="1" x14ac:dyDescent="0.4">
      <c r="A521" s="133"/>
      <c r="B521" s="131">
        <f t="shared" si="17"/>
        <v>11</v>
      </c>
      <c r="C521" s="129" t="str">
        <f t="shared" si="16"/>
        <v>Mesures d'accompagnement</v>
      </c>
      <c r="D521" s="107"/>
      <c r="E521" s="318"/>
      <c r="F521" s="310" t="s">
        <v>1472</v>
      </c>
      <c r="G521" s="319" t="s">
        <v>1376</v>
      </c>
      <c r="H521" s="327" t="s">
        <v>1512</v>
      </c>
    </row>
    <row r="522" spans="1:8" ht="15" customHeight="1" x14ac:dyDescent="0.4">
      <c r="A522" s="133"/>
      <c r="B522" s="131">
        <f t="shared" si="17"/>
        <v>12</v>
      </c>
      <c r="C522" s="129" t="str">
        <f t="shared" si="16"/>
        <v>Coûts de formation et de perfectionnement</v>
      </c>
      <c r="D522" s="107"/>
      <c r="E522" s="318"/>
      <c r="F522" s="310" t="s">
        <v>1473</v>
      </c>
      <c r="G522" s="319" t="s">
        <v>1387</v>
      </c>
      <c r="H522" s="327" t="s">
        <v>1513</v>
      </c>
    </row>
    <row r="523" spans="1:8" ht="15" customHeight="1" x14ac:dyDescent="0.4">
      <c r="A523" s="133"/>
      <c r="B523" s="131">
        <f t="shared" si="17"/>
        <v>13</v>
      </c>
      <c r="C523" s="129" t="str">
        <f t="shared" si="16"/>
        <v>Conseils</v>
      </c>
      <c r="D523" s="107"/>
      <c r="E523" s="318"/>
      <c r="F523" s="310" t="s">
        <v>1474</v>
      </c>
      <c r="G523" s="319" t="s">
        <v>1403</v>
      </c>
      <c r="H523" s="327" t="s">
        <v>1514</v>
      </c>
    </row>
    <row r="524" spans="1:8" ht="15" customHeight="1" x14ac:dyDescent="0.4">
      <c r="A524" s="133"/>
      <c r="B524" s="131">
        <f t="shared" si="17"/>
        <v>14</v>
      </c>
      <c r="C524" s="129" t="str">
        <f t="shared" si="16"/>
        <v>Mise à disposition des outils de saisie, etc.</v>
      </c>
      <c r="D524" s="107"/>
      <c r="E524" s="318"/>
      <c r="F524" s="310" t="s">
        <v>1552</v>
      </c>
      <c r="G524" s="319" t="s">
        <v>1388</v>
      </c>
      <c r="H524" s="327" t="s">
        <v>1515</v>
      </c>
    </row>
    <row r="525" spans="1:8" ht="15" customHeight="1" x14ac:dyDescent="0.4">
      <c r="A525" s="133"/>
      <c r="B525" s="131">
        <f t="shared" si="17"/>
        <v>15</v>
      </c>
      <c r="C525" s="129" t="str">
        <f t="shared" si="16"/>
        <v>Monitoring</v>
      </c>
      <c r="D525" s="107"/>
      <c r="E525" s="318"/>
      <c r="F525" s="310" t="s">
        <v>602</v>
      </c>
      <c r="G525" s="319" t="s">
        <v>602</v>
      </c>
      <c r="H525" s="327" t="s">
        <v>1151</v>
      </c>
    </row>
    <row r="526" spans="1:8" ht="15" customHeight="1" x14ac:dyDescent="0.4">
      <c r="A526" s="133"/>
      <c r="B526" s="131">
        <f t="shared" si="17"/>
        <v>16</v>
      </c>
      <c r="C526" s="129" t="str">
        <f t="shared" si="16"/>
        <v>Mesures d'accompagnement 6</v>
      </c>
      <c r="D526" s="107"/>
      <c r="E526" s="318"/>
      <c r="F526" s="310" t="s">
        <v>1475</v>
      </c>
      <c r="G526" s="319" t="s">
        <v>1404</v>
      </c>
      <c r="H526" s="327" t="s">
        <v>1516</v>
      </c>
    </row>
    <row r="527" spans="1:8" ht="15" customHeight="1" x14ac:dyDescent="0.4">
      <c r="A527" s="133"/>
      <c r="B527" s="131">
        <f t="shared" si="17"/>
        <v>17</v>
      </c>
      <c r="C527" s="129" t="str">
        <f t="shared" si="16"/>
        <v>Mesures d'accompagnement 7</v>
      </c>
      <c r="D527" s="107"/>
      <c r="E527" s="318"/>
      <c r="F527" s="310" t="s">
        <v>1476</v>
      </c>
      <c r="G527" s="319" t="s">
        <v>1405</v>
      </c>
      <c r="H527" s="327" t="s">
        <v>1517</v>
      </c>
    </row>
    <row r="528" spans="1:8" ht="15" customHeight="1" x14ac:dyDescent="0.4">
      <c r="A528" s="133"/>
      <c r="B528" s="131">
        <f t="shared" si="17"/>
        <v>18</v>
      </c>
      <c r="C528" s="129" t="str">
        <f t="shared" si="16"/>
        <v>Contributions Prokilowatt / unité</v>
      </c>
      <c r="D528" s="107"/>
      <c r="E528" s="318"/>
      <c r="F528" s="310" t="s">
        <v>1871</v>
      </c>
      <c r="G528" s="319" t="s">
        <v>1872</v>
      </c>
      <c r="H528" s="327" t="s">
        <v>1873</v>
      </c>
    </row>
    <row r="529" spans="1:8" ht="15" customHeight="1" x14ac:dyDescent="0.4">
      <c r="A529" s="133"/>
      <c r="B529" s="131">
        <f t="shared" si="17"/>
        <v>19</v>
      </c>
      <c r="C529" s="129" t="str">
        <f t="shared" si="16"/>
        <v>Total des coûts d'investissement / unité</v>
      </c>
      <c r="D529" s="107"/>
      <c r="E529" s="318"/>
      <c r="F529" s="310" t="s">
        <v>1477</v>
      </c>
      <c r="G529" s="319" t="s">
        <v>1442</v>
      </c>
      <c r="H529" s="327" t="s">
        <v>1518</v>
      </c>
    </row>
    <row r="530" spans="1:8" ht="15" customHeight="1" x14ac:dyDescent="0.4">
      <c r="A530" s="133"/>
      <c r="B530" s="131">
        <f t="shared" si="17"/>
        <v>20</v>
      </c>
      <c r="C530" s="129" t="str">
        <f t="shared" si="16"/>
        <v>Part de la contribution financière à l'investissement total</v>
      </c>
      <c r="D530" s="107"/>
      <c r="E530" s="318"/>
      <c r="F530" s="310" t="s">
        <v>1478</v>
      </c>
      <c r="G530" s="319" t="s">
        <v>1406</v>
      </c>
      <c r="H530" s="327" t="s">
        <v>1519</v>
      </c>
    </row>
    <row r="531" spans="1:8" ht="15" customHeight="1" x14ac:dyDescent="0.4">
      <c r="A531" s="133"/>
      <c r="B531" s="131">
        <f t="shared" si="17"/>
        <v>21</v>
      </c>
      <c r="C531" s="129" t="str">
        <f t="shared" si="16"/>
        <v>Mesures de soutien</v>
      </c>
      <c r="D531" s="107"/>
      <c r="E531" s="318"/>
      <c r="F531" s="310" t="s">
        <v>1479</v>
      </c>
      <c r="G531" s="319" t="s">
        <v>1377</v>
      </c>
      <c r="H531" s="327" t="s">
        <v>1520</v>
      </c>
    </row>
    <row r="532" spans="1:8" ht="15" customHeight="1" x14ac:dyDescent="0.4">
      <c r="A532" s="133"/>
      <c r="B532" s="131">
        <f t="shared" si="17"/>
        <v>22</v>
      </c>
      <c r="C532" s="129" t="str">
        <f t="shared" si="16"/>
        <v>Ecrire le titre de la mesure de soutien 1</v>
      </c>
      <c r="D532" s="107"/>
      <c r="E532" s="318"/>
      <c r="F532" s="310" t="s">
        <v>1762</v>
      </c>
      <c r="G532" s="319" t="s">
        <v>1770</v>
      </c>
      <c r="H532" s="327" t="s">
        <v>1778</v>
      </c>
    </row>
    <row r="533" spans="1:8" ht="15" customHeight="1" x14ac:dyDescent="0.4">
      <c r="A533" s="133"/>
      <c r="B533" s="131">
        <f t="shared" si="17"/>
        <v>23</v>
      </c>
      <c r="C533" s="129" t="str">
        <f t="shared" si="16"/>
        <v>Ecrire le titre de la mesure de soutien 2</v>
      </c>
      <c r="D533" s="107"/>
      <c r="E533" s="318"/>
      <c r="F533" s="310" t="s">
        <v>1763</v>
      </c>
      <c r="G533" s="319" t="s">
        <v>1771</v>
      </c>
      <c r="H533" s="327" t="s">
        <v>1779</v>
      </c>
    </row>
    <row r="534" spans="1:8" ht="15" customHeight="1" x14ac:dyDescent="0.4">
      <c r="A534" s="133"/>
      <c r="B534" s="131">
        <f t="shared" si="17"/>
        <v>24</v>
      </c>
      <c r="C534" s="129" t="str">
        <f t="shared" si="16"/>
        <v>Ecrire le titre de la mesure de soutien 3</v>
      </c>
      <c r="D534" s="107"/>
      <c r="E534" s="318"/>
      <c r="F534" s="310" t="s">
        <v>1764</v>
      </c>
      <c r="G534" s="319" t="s">
        <v>1772</v>
      </c>
      <c r="H534" s="327" t="s">
        <v>1780</v>
      </c>
    </row>
    <row r="535" spans="1:8" ht="15" customHeight="1" x14ac:dyDescent="0.4">
      <c r="A535" s="133"/>
      <c r="B535" s="131">
        <f t="shared" si="17"/>
        <v>25</v>
      </c>
      <c r="C535" s="129" t="str">
        <f t="shared" si="16"/>
        <v>Ecrire le titre de la mesure de soutien 4</v>
      </c>
      <c r="D535" s="107"/>
      <c r="E535" s="318"/>
      <c r="F535" s="310" t="s">
        <v>1765</v>
      </c>
      <c r="G535" s="319" t="s">
        <v>1773</v>
      </c>
      <c r="H535" s="327" t="s">
        <v>1781</v>
      </c>
    </row>
    <row r="536" spans="1:8" ht="15" customHeight="1" x14ac:dyDescent="0.4">
      <c r="A536" s="133"/>
      <c r="B536" s="131">
        <f t="shared" si="17"/>
        <v>26</v>
      </c>
      <c r="C536" s="129" t="str">
        <f t="shared" si="16"/>
        <v>Ecrire le titre de la mesure de soutien 5</v>
      </c>
      <c r="D536" s="107"/>
      <c r="E536" s="318"/>
      <c r="F536" s="310" t="s">
        <v>1766</v>
      </c>
      <c r="G536" s="319" t="s">
        <v>1774</v>
      </c>
      <c r="H536" s="327" t="s">
        <v>1782</v>
      </c>
    </row>
    <row r="537" spans="1:8" ht="15" customHeight="1" x14ac:dyDescent="0.4">
      <c r="A537" s="133"/>
      <c r="B537" s="131">
        <f t="shared" si="17"/>
        <v>27</v>
      </c>
      <c r="C537" s="129" t="str">
        <f t="shared" si="16"/>
        <v>Ecrire le titre de la mesure de soutien 6</v>
      </c>
      <c r="D537" s="107"/>
      <c r="E537" s="318"/>
      <c r="F537" s="310" t="s">
        <v>1767</v>
      </c>
      <c r="G537" s="319" t="s">
        <v>1775</v>
      </c>
      <c r="H537" s="327" t="s">
        <v>1783</v>
      </c>
    </row>
    <row r="538" spans="1:8" ht="15" customHeight="1" x14ac:dyDescent="0.4">
      <c r="A538" s="133"/>
      <c r="B538" s="131">
        <f t="shared" si="17"/>
        <v>28</v>
      </c>
      <c r="C538" s="129" t="str">
        <f t="shared" si="16"/>
        <v>Ecrire le titre de la mesure de soutien 7</v>
      </c>
      <c r="D538" s="107"/>
      <c r="E538" s="318"/>
      <c r="F538" s="310" t="s">
        <v>1768</v>
      </c>
      <c r="G538" s="319" t="s">
        <v>1776</v>
      </c>
      <c r="H538" s="327" t="s">
        <v>1784</v>
      </c>
    </row>
    <row r="539" spans="1:8" ht="15" customHeight="1" x14ac:dyDescent="0.4">
      <c r="A539" s="133"/>
      <c r="B539" s="131">
        <f t="shared" si="17"/>
        <v>29</v>
      </c>
      <c r="C539" s="129" t="str">
        <f t="shared" si="16"/>
        <v>Ecrire le titre de la mesure de soutien 8</v>
      </c>
      <c r="D539" s="107"/>
      <c r="E539" s="318"/>
      <c r="F539" s="310" t="s">
        <v>1769</v>
      </c>
      <c r="G539" s="319" t="s">
        <v>1777</v>
      </c>
      <c r="H539" s="327" t="s">
        <v>1785</v>
      </c>
    </row>
    <row r="540" spans="1:8" ht="15" customHeight="1" x14ac:dyDescent="0.4">
      <c r="A540" s="133"/>
      <c r="B540" s="131">
        <f t="shared" si="17"/>
        <v>30</v>
      </c>
      <c r="C540" s="129" t="str">
        <f t="shared" si="16"/>
        <v>Analyse sommaire</v>
      </c>
      <c r="D540" s="107"/>
      <c r="E540" s="318"/>
      <c r="F540" s="310" t="s">
        <v>1480</v>
      </c>
      <c r="G540" s="319" t="s">
        <v>1378</v>
      </c>
      <c r="H540" s="327" t="s">
        <v>1521</v>
      </c>
    </row>
    <row r="541" spans="1:8" ht="15" customHeight="1" x14ac:dyDescent="0.4">
      <c r="A541" s="133"/>
      <c r="B541" s="131">
        <f t="shared" si="17"/>
        <v>31</v>
      </c>
      <c r="C541" s="129" t="str">
        <f t="shared" si="16"/>
        <v>Analyse</v>
      </c>
      <c r="D541" s="107"/>
      <c r="E541" s="318"/>
      <c r="F541" s="310" t="s">
        <v>1886</v>
      </c>
      <c r="G541" s="319" t="s">
        <v>1886</v>
      </c>
      <c r="H541" s="327" t="s">
        <v>1887</v>
      </c>
    </row>
    <row r="542" spans="1:8" ht="15" customHeight="1" x14ac:dyDescent="0.4">
      <c r="A542" s="133"/>
      <c r="B542" s="131">
        <f t="shared" si="17"/>
        <v>32</v>
      </c>
      <c r="C542" s="129" t="str">
        <f t="shared" si="16"/>
        <v>Mesures de soutien des clients cibles</v>
      </c>
      <c r="D542" s="107"/>
      <c r="E542" s="318"/>
      <c r="F542" s="310" t="s">
        <v>1481</v>
      </c>
      <c r="G542" s="319" t="s">
        <v>1385</v>
      </c>
      <c r="H542" s="327" t="s">
        <v>1522</v>
      </c>
    </row>
    <row r="543" spans="1:8" ht="15" customHeight="1" x14ac:dyDescent="0.4">
      <c r="A543" s="133"/>
      <c r="B543" s="131">
        <f t="shared" si="17"/>
        <v>33</v>
      </c>
      <c r="C543" s="129" t="str">
        <f t="shared" si="16"/>
        <v>Moyennes pondérées</v>
      </c>
      <c r="D543" s="107"/>
      <c r="E543" s="318"/>
      <c r="F543" s="310" t="s">
        <v>1482</v>
      </c>
      <c r="G543" s="319" t="s">
        <v>1382</v>
      </c>
      <c r="H543" s="327" t="s">
        <v>1523</v>
      </c>
    </row>
    <row r="544" spans="1:8" ht="15" customHeight="1" x14ac:dyDescent="0.4">
      <c r="A544" s="133"/>
      <c r="B544" s="131">
        <f t="shared" si="17"/>
        <v>34</v>
      </c>
      <c r="C544" s="129" t="str">
        <f t="shared" si="16"/>
        <v>Coût total = total des investissements induits par le programme</v>
      </c>
      <c r="D544" s="107"/>
      <c r="E544" s="318"/>
      <c r="F544" s="310" t="s">
        <v>1483</v>
      </c>
      <c r="G544" s="319" t="s">
        <v>1399</v>
      </c>
      <c r="H544" s="327" t="s">
        <v>1524</v>
      </c>
    </row>
    <row r="545" spans="1:8" ht="15" customHeight="1" x14ac:dyDescent="0.4">
      <c r="A545" s="133"/>
      <c r="B545" s="131">
        <f t="shared" si="17"/>
        <v>35</v>
      </c>
      <c r="C545" s="129" t="str">
        <f t="shared" si="16"/>
        <v>Statut du financement</v>
      </c>
      <c r="D545" s="107"/>
      <c r="E545" s="318"/>
      <c r="F545" s="310" t="s">
        <v>1484</v>
      </c>
      <c r="G545" s="319" t="s">
        <v>1384</v>
      </c>
      <c r="H545" s="327" t="s">
        <v>1525</v>
      </c>
    </row>
    <row r="546" spans="1:8" ht="15" customHeight="1" x14ac:dyDescent="0.4">
      <c r="A546" s="133"/>
      <c r="B546" s="131">
        <f t="shared" si="17"/>
        <v>36</v>
      </c>
      <c r="C546" s="129" t="str">
        <f t="shared" si="16"/>
        <v>Soutien demandé à ProKilowatt</v>
      </c>
      <c r="D546" s="107"/>
      <c r="E546" s="318"/>
      <c r="F546" s="310" t="s">
        <v>1485</v>
      </c>
      <c r="G546" s="319" t="s">
        <v>1381</v>
      </c>
      <c r="H546" s="327" t="s">
        <v>1526</v>
      </c>
    </row>
    <row r="547" spans="1:8" ht="15" customHeight="1" x14ac:dyDescent="0.4">
      <c r="A547" s="133"/>
      <c r="B547" s="131">
        <f t="shared" si="17"/>
        <v>37</v>
      </c>
      <c r="C547" s="129" t="str">
        <f t="shared" si="16"/>
        <v>Quelle serait la contribution financière nécessaire à la mise en œuvre du programme au niveau national?</v>
      </c>
      <c r="D547" s="107"/>
      <c r="E547" s="318"/>
      <c r="F547" s="310" t="s">
        <v>1486</v>
      </c>
      <c r="G547" s="319" t="s">
        <v>1407</v>
      </c>
      <c r="H547" s="327" t="s">
        <v>1527</v>
      </c>
    </row>
    <row r="548" spans="1:8" ht="15" customHeight="1" x14ac:dyDescent="0.4">
      <c r="A548" s="133"/>
      <c r="B548" s="131">
        <f t="shared" si="17"/>
        <v>38</v>
      </c>
      <c r="C548" s="129" t="str">
        <f t="shared" si="16"/>
        <v>Commentaire(s)</v>
      </c>
      <c r="D548" s="107"/>
      <c r="E548" s="318"/>
      <c r="F548" s="310" t="s">
        <v>1487</v>
      </c>
      <c r="G548" s="319" t="s">
        <v>1408</v>
      </c>
      <c r="H548" s="327" t="s">
        <v>1528</v>
      </c>
    </row>
    <row r="549" spans="1:8" ht="15" customHeight="1" x14ac:dyDescent="0.4">
      <c r="A549" s="133"/>
      <c r="B549" s="131">
        <f t="shared" si="17"/>
        <v>39</v>
      </c>
      <c r="C549" s="129" t="str">
        <f t="shared" si="16"/>
        <v>Contrôle</v>
      </c>
      <c r="D549" s="107"/>
      <c r="E549" s="318"/>
      <c r="F549" s="310" t="s">
        <v>1488</v>
      </c>
      <c r="G549" s="319" t="s">
        <v>1392</v>
      </c>
      <c r="H549" s="327" t="s">
        <v>1529</v>
      </c>
    </row>
    <row r="550" spans="1:8" ht="15" customHeight="1" x14ac:dyDescent="0.4">
      <c r="A550" s="133"/>
      <c r="B550" s="131">
        <f t="shared" si="17"/>
        <v>40</v>
      </c>
      <c r="C550" s="129" t="str">
        <f t="shared" si="16"/>
        <v>Coûts administratifs (général, conception du programme, etc)</v>
      </c>
      <c r="D550" s="107"/>
      <c r="E550" s="318"/>
      <c r="F550" s="310" t="s">
        <v>1489</v>
      </c>
      <c r="G550" s="319" t="s">
        <v>1410</v>
      </c>
      <c r="H550" s="327" t="s">
        <v>1530</v>
      </c>
    </row>
    <row r="551" spans="1:8" ht="15" customHeight="1" x14ac:dyDescent="0.4">
      <c r="A551" s="133"/>
      <c r="B551" s="131">
        <f t="shared" si="17"/>
        <v>41</v>
      </c>
      <c r="C551" s="129" t="str">
        <f t="shared" si="16"/>
        <v>Coûts administratifs en relation avec les clients cibles (selon le nombre de fichiers, etc.)</v>
      </c>
      <c r="D551" s="107"/>
      <c r="E551" s="318"/>
      <c r="F551" s="310" t="s">
        <v>1490</v>
      </c>
      <c r="G551" s="319" t="s">
        <v>1411</v>
      </c>
      <c r="H551" s="327" t="s">
        <v>1531</v>
      </c>
    </row>
    <row r="552" spans="1:8" ht="15" customHeight="1" x14ac:dyDescent="0.4">
      <c r="A552" s="133"/>
      <c r="B552" s="131">
        <f t="shared" si="17"/>
        <v>42</v>
      </c>
      <c r="C552" s="129" t="str">
        <f t="shared" si="16"/>
        <v>La cellule R11 ne doit pas dépasser 10% du montant de la contribution ProKilowatt demandée (voir les conditions pour la soumission des projets et programmes en 2019, chapitre 2.2.1 Pg-1f).</v>
      </c>
      <c r="D552" s="107"/>
      <c r="E552" s="318"/>
      <c r="F552" s="331" t="s">
        <v>1957</v>
      </c>
      <c r="G552" s="319" t="s">
        <v>1958</v>
      </c>
      <c r="H552" s="327" t="s">
        <v>1959</v>
      </c>
    </row>
    <row r="553" spans="1:8" ht="15" customHeight="1" x14ac:dyDescent="0.4">
      <c r="A553" s="133"/>
      <c r="B553" s="131">
        <f t="shared" si="17"/>
        <v>43</v>
      </c>
      <c r="C553" s="129" t="str">
        <f t="shared" si="16"/>
        <v>Coûts de formation, de perfectionnement et de manifestations d'information</v>
      </c>
      <c r="D553" s="107"/>
      <c r="E553" s="318"/>
      <c r="F553" s="310" t="s">
        <v>1554</v>
      </c>
      <c r="G553" s="319" t="s">
        <v>1412</v>
      </c>
      <c r="H553" s="327" t="s">
        <v>1532</v>
      </c>
    </row>
    <row r="554" spans="1:8" ht="15" customHeight="1" x14ac:dyDescent="0.4">
      <c r="A554" s="133"/>
      <c r="B554" s="131">
        <f t="shared" si="17"/>
        <v>44</v>
      </c>
      <c r="C554" s="129" t="str">
        <f t="shared" si="16"/>
        <v>Coûts des services de conseil</v>
      </c>
      <c r="D554" s="107"/>
      <c r="E554" s="318"/>
      <c r="F554" s="310" t="s">
        <v>1491</v>
      </c>
      <c r="G554" s="319" t="s">
        <v>1413</v>
      </c>
      <c r="H554" s="327" t="s">
        <v>1533</v>
      </c>
    </row>
    <row r="555" spans="1:8" ht="15" customHeight="1" x14ac:dyDescent="0.4">
      <c r="A555" s="133"/>
      <c r="B555" s="131">
        <f t="shared" si="17"/>
        <v>45</v>
      </c>
      <c r="C555" s="129" t="str">
        <f t="shared" si="16"/>
        <v>Outils nécessaires à la mise en œuvre du programme (plates-formes d'entrée, formulaires d'inscription, etc)</v>
      </c>
      <c r="D555" s="107"/>
      <c r="E555" s="318"/>
      <c r="F555" s="310" t="s">
        <v>1492</v>
      </c>
      <c r="G555" s="319" t="s">
        <v>1389</v>
      </c>
      <c r="H555" s="327" t="s">
        <v>1534</v>
      </c>
    </row>
    <row r="556" spans="1:8" ht="15" customHeight="1" x14ac:dyDescent="0.4">
      <c r="A556" s="133"/>
      <c r="B556" s="131">
        <f t="shared" si="17"/>
        <v>46</v>
      </c>
      <c r="C556" s="129" t="str">
        <f t="shared" si="16"/>
        <v>Coûts des mesures de contrôle (monitoring)</v>
      </c>
      <c r="D556" s="107"/>
      <c r="E556" s="318"/>
      <c r="F556" s="310" t="s">
        <v>1493</v>
      </c>
      <c r="G556" s="319" t="s">
        <v>1414</v>
      </c>
      <c r="H556" s="327" t="s">
        <v>1535</v>
      </c>
    </row>
    <row r="557" spans="1:8" ht="15" customHeight="1" x14ac:dyDescent="0.4">
      <c r="A557" s="133"/>
      <c r="B557" s="131">
        <f t="shared" si="17"/>
        <v>47</v>
      </c>
      <c r="C557" s="129" t="str">
        <f t="shared" si="16"/>
        <v>Coûts pour les mesures d'accompagnement supplémentaires</v>
      </c>
      <c r="D557" s="107"/>
      <c r="E557" s="318"/>
      <c r="F557" s="310" t="s">
        <v>1494</v>
      </c>
      <c r="G557" s="319" t="s">
        <v>1415</v>
      </c>
      <c r="H557" s="327" t="s">
        <v>1536</v>
      </c>
    </row>
    <row r="558" spans="1:8" ht="15" customHeight="1" x14ac:dyDescent="0.4">
      <c r="A558" s="133"/>
      <c r="B558" s="131">
        <f t="shared" si="17"/>
        <v>48</v>
      </c>
      <c r="C558" s="129" t="str">
        <f t="shared" si="16"/>
        <v>Les cellules R14 et R21 ne doivent pas dépasser 30% du montant de la contribution ProKilowatt demandée (voir les conditions pour la soumission des projets et programmes en 2019, chapitre 2.2.1 Pg-1f).</v>
      </c>
      <c r="D558" s="107"/>
      <c r="E558" s="318"/>
      <c r="F558" s="310" t="s">
        <v>1954</v>
      </c>
      <c r="G558" s="319" t="s">
        <v>1955</v>
      </c>
      <c r="H558" s="327" t="s">
        <v>1956</v>
      </c>
    </row>
    <row r="559" spans="1:8" ht="15" customHeight="1" x14ac:dyDescent="0.4">
      <c r="A559" s="133"/>
      <c r="B559" s="131">
        <f t="shared" si="17"/>
        <v>49</v>
      </c>
      <c r="C559" s="129" t="str">
        <f t="shared" si="16"/>
        <v>Coûts des analyses (le cas échéant, description obligatoire au chap.3 Mesures dans le concept de programme)
La cellule Q35 ne doit pas dépasser 10% de la cellule Q36 (voir les conditions pour la soumission des projets et programmes en 2019, chapitre 2.2.1 Pg-1f).
ProKilowatt subventionne au maximum 50% des coûts d’une analyse.</v>
      </c>
      <c r="D559" s="107"/>
      <c r="E559" s="318"/>
      <c r="F559" s="310" t="s">
        <v>1945</v>
      </c>
      <c r="G559" s="319" t="s">
        <v>1946</v>
      </c>
      <c r="H559" s="327" t="s">
        <v>1947</v>
      </c>
    </row>
    <row r="560" spans="1:8" ht="15" customHeight="1" x14ac:dyDescent="0.4">
      <c r="A560" s="133"/>
      <c r="B560" s="131">
        <f t="shared" si="17"/>
        <v>50</v>
      </c>
      <c r="C560" s="129" t="str">
        <f t="shared" si="16"/>
        <v>Estimation de la contribution financière nécessaire à la mise en œuvre du programme sur toute la Suisse?</v>
      </c>
      <c r="D560" s="107"/>
      <c r="E560" s="318"/>
      <c r="F560" s="310" t="s">
        <v>1555</v>
      </c>
      <c r="G560" s="319" t="s">
        <v>1416</v>
      </c>
      <c r="H560" s="327" t="s">
        <v>1537</v>
      </c>
    </row>
    <row r="561" spans="1:8" ht="15" customHeight="1" x14ac:dyDescent="0.4">
      <c r="A561" s="133"/>
      <c r="B561" s="131">
        <f t="shared" si="17"/>
        <v>51</v>
      </c>
      <c r="C561" s="129" t="str">
        <f t="shared" si="16"/>
        <v>Analyse des effets / économies</v>
      </c>
      <c r="D561" s="107"/>
      <c r="E561" s="318"/>
      <c r="F561" s="310" t="s">
        <v>1495</v>
      </c>
      <c r="G561" s="319" t="s">
        <v>1440</v>
      </c>
      <c r="H561" s="327" t="s">
        <v>1538</v>
      </c>
    </row>
    <row r="562" spans="1:8" ht="15" customHeight="1" x14ac:dyDescent="0.4">
      <c r="A562" s="133"/>
      <c r="B562" s="131">
        <f t="shared" si="17"/>
        <v>52</v>
      </c>
      <c r="C562" s="129" t="str">
        <f t="shared" si="16"/>
        <v>Statut des économies</v>
      </c>
      <c r="D562" s="107"/>
      <c r="E562" s="318"/>
      <c r="F562" s="310" t="s">
        <v>1496</v>
      </c>
      <c r="G562" s="319" t="s">
        <v>1398</v>
      </c>
      <c r="H562" s="327" t="s">
        <v>1539</v>
      </c>
    </row>
    <row r="563" spans="1:8" ht="15" customHeight="1" x14ac:dyDescent="0.4">
      <c r="A563" s="133"/>
      <c r="B563" s="131">
        <f t="shared" si="17"/>
        <v>53</v>
      </c>
      <c r="C563" s="129" t="str">
        <f t="shared" si="16"/>
        <v>Analyse des effets / économies des mesures de soutien</v>
      </c>
      <c r="D563" s="107"/>
      <c r="E563" s="318"/>
      <c r="F563" s="310" t="s">
        <v>1497</v>
      </c>
      <c r="G563" s="319" t="s">
        <v>1443</v>
      </c>
      <c r="H563" s="327" t="s">
        <v>1540</v>
      </c>
    </row>
    <row r="564" spans="1:8" ht="15" customHeight="1" x14ac:dyDescent="0.4">
      <c r="A564" s="133"/>
      <c r="B564" s="131">
        <f t="shared" si="17"/>
        <v>54</v>
      </c>
      <c r="C564" s="129" t="str">
        <f t="shared" si="16"/>
        <v>Les économies sont présentées séparément pour les mesures de soutien individuelles.</v>
      </c>
      <c r="D564" s="107"/>
      <c r="E564" s="318"/>
      <c r="F564" s="310" t="s">
        <v>1498</v>
      </c>
      <c r="G564" s="319" t="s">
        <v>1419</v>
      </c>
      <c r="H564" s="327" t="s">
        <v>1541</v>
      </c>
    </row>
    <row r="565" spans="1:8" ht="15" customHeight="1" x14ac:dyDescent="0.4">
      <c r="A565" s="133"/>
      <c r="B565" s="131">
        <f t="shared" si="17"/>
        <v>55</v>
      </c>
      <c r="C565" s="129" t="str">
        <f t="shared" si="16"/>
        <v>Consommation éléctrique de l’ancienne installation / unité</v>
      </c>
      <c r="D565" s="107"/>
      <c r="E565" s="318"/>
      <c r="F565" s="310" t="s">
        <v>1844</v>
      </c>
      <c r="G565" s="319" t="s">
        <v>1845</v>
      </c>
      <c r="H565" s="327" t="s">
        <v>1846</v>
      </c>
    </row>
    <row r="566" spans="1:8" ht="15" customHeight="1" x14ac:dyDescent="0.4">
      <c r="A566" s="133"/>
      <c r="B566" s="131">
        <f t="shared" si="17"/>
        <v>56</v>
      </c>
      <c r="C566" s="129" t="str">
        <f t="shared" si="16"/>
        <v>Consommation électrique de la nouvelle installation/ unité</v>
      </c>
      <c r="D566" s="107"/>
      <c r="E566" s="318"/>
      <c r="F566" s="310" t="s">
        <v>1850</v>
      </c>
      <c r="G566" s="319" t="s">
        <v>1851</v>
      </c>
      <c r="H566" s="327" t="s">
        <v>1852</v>
      </c>
    </row>
    <row r="567" spans="1:8" ht="15" customHeight="1" x14ac:dyDescent="0.4">
      <c r="A567" s="133"/>
      <c r="B567" s="131">
        <f t="shared" si="17"/>
        <v>57</v>
      </c>
      <c r="C567" s="129" t="str">
        <f t="shared" si="16"/>
        <v>Facteur de réduction 
pour taux de remplacement naturel</v>
      </c>
      <c r="D567" s="107"/>
      <c r="E567" s="318"/>
      <c r="F567" s="310" t="s">
        <v>1572</v>
      </c>
      <c r="G567" s="319" t="s">
        <v>1571</v>
      </c>
      <c r="H567" s="327" t="s">
        <v>1573</v>
      </c>
    </row>
    <row r="568" spans="1:8" ht="15" customHeight="1" x14ac:dyDescent="0.4">
      <c r="A568" s="133"/>
      <c r="B568" s="131">
        <f t="shared" si="17"/>
        <v>58</v>
      </c>
      <c r="C568" s="129" t="str">
        <f t="shared" si="16"/>
        <v>Économies d'électricité / unité</v>
      </c>
      <c r="D568" s="107"/>
      <c r="E568" s="318"/>
      <c r="F568" s="310" t="s">
        <v>1874</v>
      </c>
      <c r="G568" s="319" t="s">
        <v>1875</v>
      </c>
      <c r="H568" s="327" t="s">
        <v>1876</v>
      </c>
    </row>
    <row r="569" spans="1:8" ht="15" customHeight="1" x14ac:dyDescent="0.4">
      <c r="A569" s="133"/>
      <c r="B569" s="131">
        <f t="shared" si="17"/>
        <v>59</v>
      </c>
      <c r="C569" s="129" t="str">
        <f t="shared" si="16"/>
        <v>Durée d'utilisation imputable (cf annexe 4)</v>
      </c>
      <c r="D569" s="107"/>
      <c r="E569" s="318"/>
      <c r="F569" s="310" t="s">
        <v>1609</v>
      </c>
      <c r="G569" s="319" t="s">
        <v>1396</v>
      </c>
      <c r="H569" s="327" t="s">
        <v>1542</v>
      </c>
    </row>
    <row r="570" spans="1:8" ht="15" customHeight="1" x14ac:dyDescent="0.4">
      <c r="A570" s="133"/>
      <c r="B570" s="131">
        <f t="shared" si="17"/>
        <v>60</v>
      </c>
      <c r="C570" s="129" t="str">
        <f t="shared" si="16"/>
        <v>Économies d'électricité imputables totales par an</v>
      </c>
      <c r="D570" s="107"/>
      <c r="E570" s="318"/>
      <c r="F570" s="310" t="s">
        <v>1600</v>
      </c>
      <c r="G570" s="319" t="s">
        <v>1568</v>
      </c>
      <c r="H570" s="327" t="s">
        <v>1569</v>
      </c>
    </row>
    <row r="571" spans="1:8" ht="15" customHeight="1" x14ac:dyDescent="0.4">
      <c r="A571" s="133"/>
      <c r="B571" s="131">
        <f t="shared" si="17"/>
        <v>61</v>
      </c>
      <c r="C571" s="129" t="str">
        <f t="shared" si="16"/>
        <v>Payback par mesure sans soutien ProKilowatt</v>
      </c>
      <c r="D571" s="107"/>
      <c r="E571" s="318"/>
      <c r="F571" s="310" t="s">
        <v>1877</v>
      </c>
      <c r="G571" s="319" t="s">
        <v>1878</v>
      </c>
      <c r="H571" s="327" t="s">
        <v>1879</v>
      </c>
    </row>
    <row r="572" spans="1:8" ht="15" customHeight="1" x14ac:dyDescent="0.4">
      <c r="A572" s="133"/>
      <c r="B572" s="131">
        <f t="shared" si="17"/>
        <v>62</v>
      </c>
      <c r="C572" s="129" t="str">
        <f t="shared" si="16"/>
        <v>Durée de retour sur investissement par mesure avec moyens de soutien</v>
      </c>
      <c r="D572" s="107"/>
      <c r="E572" s="318"/>
      <c r="F572" s="310" t="s">
        <v>1499</v>
      </c>
      <c r="G572" s="319" t="s">
        <v>1570</v>
      </c>
      <c r="H572" s="327" t="s">
        <v>1543</v>
      </c>
    </row>
    <row r="573" spans="1:8" ht="15" customHeight="1" x14ac:dyDescent="0.4">
      <c r="A573" s="133"/>
      <c r="B573" s="131">
        <f t="shared" si="17"/>
        <v>63</v>
      </c>
      <c r="C573" s="129" t="str">
        <f t="shared" si="16"/>
        <v>Économies d'électricité imputables sur la durée d'utilisation</v>
      </c>
      <c r="D573" s="107"/>
      <c r="E573" s="318"/>
      <c r="F573" s="310" t="s">
        <v>1563</v>
      </c>
      <c r="G573" s="319" t="s">
        <v>1562</v>
      </c>
      <c r="H573" s="327" t="s">
        <v>1564</v>
      </c>
    </row>
    <row r="574" spans="1:8" ht="15" customHeight="1" x14ac:dyDescent="0.4">
      <c r="A574" s="133"/>
      <c r="B574" s="131">
        <f t="shared" si="17"/>
        <v>64</v>
      </c>
      <c r="C574" s="129" t="str">
        <f t="shared" si="16"/>
        <v>Toutes les mesures de remplacement des pompes de circulation ont un facteur de réduction de 0,67 = 1 - 0.33 (voir les conditions pour la soumission des projets et programmes en 2015, chap. 4.1). Toutes les autres mesures ont un facteur de réduction de 1,00.</v>
      </c>
      <c r="D574" s="107"/>
      <c r="E574" s="318"/>
      <c r="F574" s="368" t="s">
        <v>1607</v>
      </c>
      <c r="G574" s="369" t="s">
        <v>1606</v>
      </c>
      <c r="H574" s="370" t="s">
        <v>1608</v>
      </c>
    </row>
    <row r="575" spans="1:8" ht="15" customHeight="1" x14ac:dyDescent="0.4">
      <c r="A575" s="133"/>
      <c r="B575" s="131">
        <f t="shared" si="17"/>
        <v>65</v>
      </c>
      <c r="C575" s="129" t="str">
        <f t="shared" si="16"/>
        <v>Les mesures avec un retour sur investissement sans moyens de soutien &lt; 4 ans peuvent être comptabilisées dans les économies, toutefois des contributions de soutien ne peuvent pas être payées.</v>
      </c>
      <c r="D575" s="107"/>
      <c r="E575" s="318"/>
      <c r="F575" s="310" t="s">
        <v>1831</v>
      </c>
      <c r="G575" s="319" t="s">
        <v>1832</v>
      </c>
      <c r="H575" s="327" t="s">
        <v>1833</v>
      </c>
    </row>
    <row r="576" spans="1:8" ht="15" customHeight="1" x14ac:dyDescent="0.4">
      <c r="A576" s="133"/>
      <c r="B576" s="131">
        <f t="shared" si="17"/>
        <v>66</v>
      </c>
      <c r="C576" s="129" t="str">
        <f t="shared" si="16"/>
        <v>En cas d'optimisation de l'exploitation, les mesures par équipement doivent être indiquées.</v>
      </c>
      <c r="D576" s="107"/>
      <c r="E576" s="318"/>
      <c r="F576" s="310" t="s">
        <v>1500</v>
      </c>
      <c r="G576" s="319" t="s">
        <v>1401</v>
      </c>
      <c r="H576" s="320" t="s">
        <v>1544</v>
      </c>
    </row>
    <row r="577" spans="1:8" ht="15" customHeight="1" x14ac:dyDescent="0.4">
      <c r="A577" s="133"/>
      <c r="B577" s="131">
        <f t="shared" si="17"/>
        <v>67</v>
      </c>
      <c r="C577" s="129">
        <f t="shared" si="16"/>
        <v>0</v>
      </c>
      <c r="D577" s="107"/>
      <c r="E577" s="318"/>
      <c r="F577" s="310"/>
      <c r="G577" s="319"/>
      <c r="H577" s="327"/>
    </row>
    <row r="578" spans="1:8" ht="15" customHeight="1" x14ac:dyDescent="0.4">
      <c r="A578" s="133"/>
      <c r="B578" s="131">
        <f t="shared" si="17"/>
        <v>68</v>
      </c>
      <c r="C578" s="129" t="str">
        <f t="shared" si="16"/>
        <v>Total</v>
      </c>
      <c r="D578" s="107"/>
      <c r="E578" s="318"/>
      <c r="F578" s="310" t="s">
        <v>536</v>
      </c>
      <c r="G578" s="319" t="s">
        <v>536</v>
      </c>
      <c r="H578" s="327" t="s">
        <v>1004</v>
      </c>
    </row>
    <row r="579" spans="1:8" ht="15" customHeight="1" x14ac:dyDescent="0.4">
      <c r="A579" s="133"/>
      <c r="B579" s="131">
        <f t="shared" si="17"/>
        <v>69</v>
      </c>
      <c r="C579" s="129" t="str">
        <f t="shared" si="16"/>
        <v>Consommation éléctrique de l’ancienne installation / total</v>
      </c>
      <c r="D579" s="107"/>
      <c r="E579" s="318"/>
      <c r="F579" s="310" t="s">
        <v>1847</v>
      </c>
      <c r="G579" s="319" t="s">
        <v>1848</v>
      </c>
      <c r="H579" s="327" t="s">
        <v>1849</v>
      </c>
    </row>
    <row r="580" spans="1:8" ht="15" customHeight="1" x14ac:dyDescent="0.4">
      <c r="A580" s="133"/>
      <c r="B580" s="131">
        <f t="shared" si="17"/>
        <v>70</v>
      </c>
      <c r="C580" s="129" t="str">
        <f t="shared" si="16"/>
        <v>Consommation électrique de la nouvelle installation/ total</v>
      </c>
      <c r="D580" s="107"/>
      <c r="E580" s="318"/>
      <c r="F580" s="310" t="s">
        <v>1853</v>
      </c>
      <c r="G580" s="319" t="s">
        <v>1854</v>
      </c>
      <c r="H580" s="327" t="s">
        <v>1855</v>
      </c>
    </row>
    <row r="581" spans="1:8" ht="15" customHeight="1" x14ac:dyDescent="0.4">
      <c r="A581" s="133"/>
      <c r="B581" s="131">
        <f t="shared" si="17"/>
        <v>71</v>
      </c>
      <c r="C581" s="129" t="str">
        <f t="shared" ref="C581:C644" si="18">IF($B$1="f",F581,IF($B$1="d",G581,H581))</f>
        <v>Part des coûts de gestion (administration)</v>
      </c>
      <c r="D581" s="107"/>
      <c r="E581" s="318"/>
      <c r="F581" s="310" t="s">
        <v>1501</v>
      </c>
      <c r="G581" s="319" t="s">
        <v>1438</v>
      </c>
      <c r="H581" s="327" t="s">
        <v>1545</v>
      </c>
    </row>
    <row r="582" spans="1:8" ht="15" customHeight="1" x14ac:dyDescent="0.4">
      <c r="A582" s="133"/>
      <c r="B582" s="131">
        <f t="shared" ref="B582:B645" si="19">B581+1</f>
        <v>72</v>
      </c>
      <c r="C582" s="129" t="str">
        <f t="shared" si="18"/>
        <v xml:space="preserve">Part des mesures d'accompagnement </v>
      </c>
      <c r="D582" s="107"/>
      <c r="E582" s="318"/>
      <c r="F582" s="310" t="s">
        <v>1502</v>
      </c>
      <c r="G582" s="319" t="s">
        <v>1439</v>
      </c>
      <c r="H582" s="327" t="s">
        <v>1546</v>
      </c>
    </row>
    <row r="583" spans="1:8" ht="15" customHeight="1" x14ac:dyDescent="0.4">
      <c r="A583" s="133"/>
      <c r="B583" s="131">
        <f t="shared" si="19"/>
        <v>73</v>
      </c>
      <c r="C583" s="129" t="str">
        <f t="shared" si="18"/>
        <v>Part des contributions de soutien aux investissements des clients cibles ('Moyenne pondérée)</v>
      </c>
      <c r="D583" s="107"/>
      <c r="E583" s="318"/>
      <c r="F583" s="310" t="s">
        <v>1614</v>
      </c>
      <c r="G583" s="319" t="s">
        <v>1613</v>
      </c>
      <c r="H583" s="327" t="s">
        <v>1615</v>
      </c>
    </row>
    <row r="584" spans="1:8" ht="15" customHeight="1" x14ac:dyDescent="0.4">
      <c r="A584" s="133"/>
      <c r="B584" s="131">
        <f t="shared" si="19"/>
        <v>74</v>
      </c>
      <c r="C584" s="129" t="str">
        <f t="shared" si="18"/>
        <v>Contribution ProKilowatt  prévue (cf remarque U27-31)</v>
      </c>
      <c r="D584" s="107"/>
      <c r="E584" s="318"/>
      <c r="F584" s="310" t="s">
        <v>1868</v>
      </c>
      <c r="G584" s="319" t="s">
        <v>1869</v>
      </c>
      <c r="H584" s="327" t="s">
        <v>1870</v>
      </c>
    </row>
    <row r="585" spans="1:8" ht="15" customHeight="1" x14ac:dyDescent="0.4">
      <c r="A585" s="133"/>
      <c r="B585" s="131">
        <f t="shared" si="19"/>
        <v>75</v>
      </c>
      <c r="C585" s="129" t="str">
        <f t="shared" si="18"/>
        <v>Part des coûts de gestion et coûts des mesures d'accompagnement</v>
      </c>
      <c r="D585" s="107"/>
      <c r="E585" s="318"/>
      <c r="F585" s="310" t="s">
        <v>1592</v>
      </c>
      <c r="G585" s="319" t="s">
        <v>1585</v>
      </c>
      <c r="H585" s="327" t="s">
        <v>1593</v>
      </c>
    </row>
    <row r="586" spans="1:8" ht="15" customHeight="1" x14ac:dyDescent="0.4">
      <c r="A586" s="133"/>
      <c r="B586" s="131">
        <f t="shared" si="19"/>
        <v>76</v>
      </c>
      <c r="C586" s="129" t="str">
        <f t="shared" si="18"/>
        <v>Type de programme</v>
      </c>
      <c r="D586" s="107"/>
      <c r="E586" s="318"/>
      <c r="F586" s="310" t="s">
        <v>1454</v>
      </c>
      <c r="G586" s="319" t="s">
        <v>1456</v>
      </c>
      <c r="H586" s="327" t="s">
        <v>1455</v>
      </c>
    </row>
    <row r="587" spans="1:8" ht="15" customHeight="1" x14ac:dyDescent="0.4">
      <c r="A587" s="133"/>
      <c r="B587" s="131">
        <f t="shared" si="19"/>
        <v>77</v>
      </c>
      <c r="C587" s="129" t="str">
        <f t="shared" si="18"/>
        <v>Pas de programme sectoriel</v>
      </c>
      <c r="D587" s="107"/>
      <c r="E587" s="318"/>
      <c r="F587" s="310" t="s">
        <v>1625</v>
      </c>
      <c r="G587" s="319" t="s">
        <v>1626</v>
      </c>
      <c r="H587" s="327" t="s">
        <v>1628</v>
      </c>
    </row>
    <row r="588" spans="1:8" ht="15" customHeight="1" x14ac:dyDescent="0.4">
      <c r="A588" s="133"/>
      <c r="B588" s="131">
        <f t="shared" si="19"/>
        <v>78</v>
      </c>
      <c r="C588" s="129" t="str">
        <f t="shared" si="18"/>
        <v>Programme sectoriel des pompes de circulation dans l'industrie, l'artisanat et les services</v>
      </c>
      <c r="D588" s="107"/>
      <c r="E588" s="318"/>
      <c r="F588" s="310" t="s">
        <v>1624</v>
      </c>
      <c r="G588" s="319" t="s">
        <v>1627</v>
      </c>
      <c r="H588" s="327" t="s">
        <v>1556</v>
      </c>
    </row>
    <row r="589" spans="1:8" ht="15" customHeight="1" x14ac:dyDescent="0.4">
      <c r="A589" s="133"/>
      <c r="B589" s="131">
        <f t="shared" si="19"/>
        <v>79</v>
      </c>
      <c r="C589" s="129" t="str">
        <f t="shared" si="18"/>
        <v>Programme</v>
      </c>
      <c r="D589" s="107"/>
      <c r="E589" s="318"/>
      <c r="F589" s="310" t="s">
        <v>1759</v>
      </c>
      <c r="G589" s="319" t="s">
        <v>1760</v>
      </c>
      <c r="H589" s="327" t="s">
        <v>1761</v>
      </c>
    </row>
    <row r="590" spans="1:8" ht="15" customHeight="1" x14ac:dyDescent="0.4">
      <c r="A590" s="133"/>
      <c r="B590" s="131">
        <f t="shared" si="19"/>
        <v>80</v>
      </c>
      <c r="C590" s="129" t="str">
        <f t="shared" si="18"/>
        <v>Programme de mise aux enchères de projets</v>
      </c>
      <c r="D590" s="107"/>
      <c r="E590" s="318"/>
      <c r="F590" s="310" t="s">
        <v>1828</v>
      </c>
      <c r="G590" s="319" t="s">
        <v>1829</v>
      </c>
      <c r="H590" s="327" t="s">
        <v>1830</v>
      </c>
    </row>
    <row r="591" spans="1:8" ht="15" customHeight="1" x14ac:dyDescent="0.4">
      <c r="A591" s="133"/>
      <c r="B591" s="131">
        <f t="shared" si="19"/>
        <v>81</v>
      </c>
      <c r="C591" s="129" t="str">
        <f t="shared" si="18"/>
        <v>Ø Économie d'électricité en kWh/an</v>
      </c>
      <c r="D591" s="107"/>
      <c r="E591" s="318"/>
      <c r="F591" s="311" t="s">
        <v>1583</v>
      </c>
      <c r="G591" s="319" t="s">
        <v>74</v>
      </c>
      <c r="H591" s="320" t="s">
        <v>1584</v>
      </c>
    </row>
    <row r="592" spans="1:8" ht="15" customHeight="1" x14ac:dyDescent="0.4">
      <c r="A592" s="133"/>
      <c r="B592" s="131">
        <f t="shared" si="19"/>
        <v>82</v>
      </c>
      <c r="C592" s="129" t="str">
        <f t="shared" si="18"/>
        <v>Données</v>
      </c>
      <c r="D592" s="107"/>
      <c r="E592" s="318"/>
      <c r="F592" s="310" t="s">
        <v>1856</v>
      </c>
      <c r="G592" s="319" t="s">
        <v>1857</v>
      </c>
      <c r="H592" s="327" t="s">
        <v>1858</v>
      </c>
    </row>
    <row r="593" spans="1:8" ht="15" customHeight="1" x14ac:dyDescent="0.4">
      <c r="A593" s="133"/>
      <c r="B593" s="131">
        <f t="shared" si="19"/>
        <v>83</v>
      </c>
      <c r="C593" s="129" t="str">
        <f t="shared" si="18"/>
        <v>Part des coûts de gestion et coûts des mesures d'accompagnement aux coûts totaux</v>
      </c>
      <c r="D593" s="107"/>
      <c r="E593" s="318"/>
      <c r="F593" s="310" t="s">
        <v>1588</v>
      </c>
      <c r="G593" s="319" t="s">
        <v>1586</v>
      </c>
      <c r="H593" s="327" t="s">
        <v>1590</v>
      </c>
    </row>
    <row r="594" spans="1:8" ht="15" customHeight="1" x14ac:dyDescent="0.4">
      <c r="A594" s="133"/>
      <c r="B594" s="131">
        <f t="shared" si="19"/>
        <v>84</v>
      </c>
      <c r="C594" s="129" t="str">
        <f t="shared" si="18"/>
        <v>Part des coûts de gestion et coûts des mesures d'accompagnement aux coûts totaux sans les coûts des clients cibles</v>
      </c>
      <c r="D594" s="107"/>
      <c r="E594" s="318"/>
      <c r="F594" s="310" t="s">
        <v>1589</v>
      </c>
      <c r="G594" s="319" t="s">
        <v>1587</v>
      </c>
      <c r="H594" s="327" t="s">
        <v>1591</v>
      </c>
    </row>
    <row r="595" spans="1:8" ht="15" customHeight="1" x14ac:dyDescent="0.4">
      <c r="A595" s="133"/>
      <c r="B595" s="131">
        <f t="shared" si="19"/>
        <v>85</v>
      </c>
      <c r="C595" s="129" t="str">
        <f t="shared" si="18"/>
        <v>S'il s'agit du programme ou un programme sectoriel il faut chosir le type correct.</v>
      </c>
      <c r="D595" s="107"/>
      <c r="E595" s="318"/>
      <c r="F595" s="310" t="s">
        <v>1841</v>
      </c>
      <c r="G595" s="319" t="s">
        <v>1842</v>
      </c>
      <c r="H595" s="327" t="s">
        <v>1843</v>
      </c>
    </row>
    <row r="596" spans="1:8" ht="15" customHeight="1" x14ac:dyDescent="0.4">
      <c r="A596" s="133"/>
      <c r="B596" s="131">
        <f t="shared" si="19"/>
        <v>86</v>
      </c>
      <c r="C596" s="129" t="str">
        <f t="shared" si="18"/>
        <v>Part de contribution de soutien ProKilowatt aux coûts totaux sans les coûts des clients cibles</v>
      </c>
      <c r="D596" s="107"/>
      <c r="E596" s="318"/>
      <c r="F596" s="310" t="s">
        <v>1598</v>
      </c>
      <c r="G596" s="319" t="s">
        <v>1597</v>
      </c>
      <c r="H596" s="327" t="s">
        <v>1599</v>
      </c>
    </row>
    <row r="597" spans="1:8" ht="15" customHeight="1" x14ac:dyDescent="0.4">
      <c r="A597" s="133"/>
      <c r="B597" s="131">
        <f t="shared" si="19"/>
        <v>87</v>
      </c>
      <c r="C597" s="129">
        <f t="shared" si="18"/>
        <v>0</v>
      </c>
      <c r="D597" s="107"/>
      <c r="E597" s="318"/>
      <c r="F597" s="313"/>
      <c r="G597" s="319"/>
      <c r="H597" s="326"/>
    </row>
    <row r="598" spans="1:8" ht="15" customHeight="1" x14ac:dyDescent="0.4">
      <c r="A598" s="133"/>
      <c r="B598" s="131">
        <f t="shared" si="19"/>
        <v>88</v>
      </c>
      <c r="C598" s="129">
        <f t="shared" si="18"/>
        <v>0</v>
      </c>
      <c r="D598" s="107"/>
      <c r="E598" s="318"/>
      <c r="F598" s="313"/>
      <c r="G598" s="325"/>
      <c r="H598" s="326"/>
    </row>
    <row r="599" spans="1:8" ht="15" customHeight="1" x14ac:dyDescent="0.4">
      <c r="A599" s="133"/>
      <c r="B599" s="131">
        <f t="shared" si="19"/>
        <v>89</v>
      </c>
      <c r="C599" s="129">
        <f t="shared" si="18"/>
        <v>0</v>
      </c>
      <c r="D599" s="107"/>
      <c r="E599" s="318"/>
      <c r="F599" s="313"/>
      <c r="G599" s="325"/>
      <c r="H599" s="326"/>
    </row>
    <row r="600" spans="1:8" ht="15" customHeight="1" x14ac:dyDescent="0.4">
      <c r="A600" s="133"/>
      <c r="B600" s="131">
        <f t="shared" si="19"/>
        <v>90</v>
      </c>
      <c r="C600" s="129" t="str">
        <f t="shared" si="18"/>
        <v>La cellule R21 ne doit pas dépasser 30% du montant de la contribution ProKilowatt demandée (voir les conditions pour la soumission des projets et programmes en 2019, chapitre 2.2.1 Pg-1f).</v>
      </c>
      <c r="D600" s="107"/>
      <c r="E600" s="318"/>
      <c r="F600" s="310" t="s">
        <v>1951</v>
      </c>
      <c r="G600" s="319" t="s">
        <v>1952</v>
      </c>
      <c r="H600" s="327" t="s">
        <v>1953</v>
      </c>
    </row>
    <row r="601" spans="1:8" ht="15" customHeight="1" x14ac:dyDescent="0.4">
      <c r="A601" s="133"/>
      <c r="B601" s="131">
        <f t="shared" si="19"/>
        <v>91</v>
      </c>
      <c r="C601" s="129" t="str">
        <f t="shared" si="18"/>
        <v>Contribution sollicitée dans le cadre des appels d'offres publics. Contribution minimale CHF 150'000. Contribution maximale CHF 3 million</v>
      </c>
      <c r="D601" s="107"/>
      <c r="E601" s="318"/>
      <c r="F601" s="311" t="s">
        <v>1757</v>
      </c>
      <c r="G601" s="319" t="s">
        <v>1616</v>
      </c>
      <c r="H601" s="320" t="s">
        <v>1617</v>
      </c>
    </row>
    <row r="602" spans="1:8" ht="15" customHeight="1" x14ac:dyDescent="0.4">
      <c r="A602" s="133"/>
      <c r="B602" s="131">
        <f t="shared" si="19"/>
        <v>92</v>
      </c>
      <c r="C602" s="129" t="str">
        <f t="shared" si="18"/>
        <v>La cellule I38 doit être ≥  15%. Les clients finaux doivent recevoir une contribution de soutien par pompe à 15% ou plus des coûts totaux (voir les conditions pour la soumission des projets et programmes en 2015, chap. 4.1).</v>
      </c>
      <c r="D602" s="107"/>
      <c r="E602" s="318"/>
      <c r="F602" s="311" t="s">
        <v>1611</v>
      </c>
      <c r="G602" s="319" t="s">
        <v>1610</v>
      </c>
      <c r="H602" s="320" t="s">
        <v>1612</v>
      </c>
    </row>
    <row r="603" spans="1:8" ht="15" customHeight="1" x14ac:dyDescent="0.4">
      <c r="A603" s="133"/>
      <c r="B603" s="131">
        <f t="shared" si="19"/>
        <v>93</v>
      </c>
      <c r="C603" s="129" t="str">
        <f t="shared" si="18"/>
        <v>La cellule S21 ne doit pas dépasser 20% du montant de la contribution ProKilowatt demandée (voir les conditions pour la soumission des projets et programmes en 2016, chap. 4.7).</v>
      </c>
      <c r="D603" s="107"/>
      <c r="E603" s="318"/>
      <c r="F603" s="332" t="s">
        <v>1791</v>
      </c>
      <c r="G603" s="319" t="s">
        <v>1792</v>
      </c>
      <c r="H603" s="320" t="s">
        <v>1793</v>
      </c>
    </row>
    <row r="604" spans="1:8" ht="15" customHeight="1" x14ac:dyDescent="0.4">
      <c r="A604" s="133"/>
      <c r="B604" s="131">
        <f t="shared" si="19"/>
        <v>94</v>
      </c>
      <c r="C604" s="129" t="str">
        <f t="shared" si="18"/>
        <v>Contribution sollicitée dans le cadre des appels d'offres publics. Contribution minimale CHF 150'000. Contribution maximale CHF 3 million.</v>
      </c>
      <c r="D604" s="107"/>
      <c r="E604" s="318"/>
      <c r="F604" s="311" t="s">
        <v>1618</v>
      </c>
      <c r="G604" s="319" t="s">
        <v>1616</v>
      </c>
      <c r="H604" s="320" t="s">
        <v>1617</v>
      </c>
    </row>
    <row r="605" spans="1:8" ht="15" customHeight="1" x14ac:dyDescent="0.4">
      <c r="A605" s="133"/>
      <c r="B605" s="131">
        <f t="shared" si="19"/>
        <v>95</v>
      </c>
      <c r="C605" s="129" t="str">
        <f t="shared" si="18"/>
        <v>Durée de retour sur investissement du programme (avec moyens de soutien engagés)</v>
      </c>
      <c r="D605" s="107"/>
      <c r="E605" s="318"/>
      <c r="F605" s="311" t="s">
        <v>1603</v>
      </c>
      <c r="G605" s="319" t="s">
        <v>1604</v>
      </c>
      <c r="H605" s="320" t="s">
        <v>1605</v>
      </c>
    </row>
    <row r="606" spans="1:8" ht="15" customHeight="1" x14ac:dyDescent="0.4">
      <c r="A606" s="133"/>
      <c r="B606" s="131">
        <f t="shared" si="19"/>
        <v>96</v>
      </c>
      <c r="C606" s="129" t="str">
        <f t="shared" si="18"/>
        <v>Durée de retour sur investissement par mesure avec moyens de soutien</v>
      </c>
      <c r="D606" s="107"/>
      <c r="E606" s="318"/>
      <c r="F606" s="310" t="s">
        <v>1499</v>
      </c>
      <c r="G606" s="319" t="s">
        <v>1570</v>
      </c>
      <c r="H606" s="327" t="s">
        <v>1543</v>
      </c>
    </row>
    <row r="607" spans="1:8" ht="15" customHeight="1" x14ac:dyDescent="0.4">
      <c r="A607" s="133"/>
      <c r="B607" s="131">
        <f t="shared" si="19"/>
        <v>97</v>
      </c>
      <c r="C607" s="129" t="str">
        <f t="shared" si="18"/>
        <v xml:space="preserve">Chaudières </v>
      </c>
      <c r="D607" s="107"/>
      <c r="E607" s="318"/>
      <c r="F607" s="339" t="s">
        <v>1632</v>
      </c>
      <c r="G607" s="340" t="s">
        <v>1669</v>
      </c>
      <c r="H607" s="341" t="s">
        <v>1711</v>
      </c>
    </row>
    <row r="608" spans="1:8" ht="15" customHeight="1" x14ac:dyDescent="0.4">
      <c r="A608" s="133"/>
      <c r="B608" s="131">
        <f t="shared" si="19"/>
        <v>98</v>
      </c>
      <c r="C608" s="129" t="str">
        <f t="shared" si="18"/>
        <v>Chaudières &gt; 50 kW</v>
      </c>
      <c r="D608" s="107"/>
      <c r="E608" s="318"/>
      <c r="F608" s="339" t="s">
        <v>1805</v>
      </c>
      <c r="G608" s="340" t="s">
        <v>1670</v>
      </c>
      <c r="H608" s="341" t="s">
        <v>1712</v>
      </c>
    </row>
    <row r="609" spans="1:8" ht="15" customHeight="1" x14ac:dyDescent="0.4">
      <c r="A609" s="133"/>
      <c r="B609" s="131">
        <f t="shared" si="19"/>
        <v>99</v>
      </c>
      <c r="C609" s="129" t="str">
        <f t="shared" si="18"/>
        <v>Séchoirs &lt; 50 kW</v>
      </c>
      <c r="D609" s="107"/>
      <c r="E609" s="318"/>
      <c r="F609" s="339" t="s">
        <v>1807</v>
      </c>
      <c r="G609" s="340" t="s">
        <v>1698</v>
      </c>
      <c r="H609" s="341" t="s">
        <v>1713</v>
      </c>
    </row>
    <row r="610" spans="1:8" ht="15" customHeight="1" x14ac:dyDescent="0.4">
      <c r="A610" s="133"/>
      <c r="B610" s="131">
        <f t="shared" si="19"/>
        <v>100</v>
      </c>
      <c r="C610" s="129" t="str">
        <f t="shared" si="18"/>
        <v>Séchoirs ≥ 50 kW</v>
      </c>
      <c r="D610" s="107"/>
      <c r="E610" s="318"/>
      <c r="F610" s="339" t="s">
        <v>1808</v>
      </c>
      <c r="G610" s="340" t="s">
        <v>1671</v>
      </c>
      <c r="H610" s="341" t="s">
        <v>1714</v>
      </c>
    </row>
    <row r="611" spans="1:8" ht="15" customHeight="1" x14ac:dyDescent="0.4">
      <c r="A611" s="133"/>
      <c r="B611" s="131">
        <f t="shared" si="19"/>
        <v>101</v>
      </c>
      <c r="C611" s="129" t="str">
        <f t="shared" si="18"/>
        <v>Chauffe-eau à pompe à chaleur &gt;300 litres</v>
      </c>
      <c r="D611" s="107"/>
      <c r="E611" s="318"/>
      <c r="F611" s="339" t="s">
        <v>1809</v>
      </c>
      <c r="G611" s="340" t="s">
        <v>1672</v>
      </c>
      <c r="H611" s="341" t="s">
        <v>1715</v>
      </c>
    </row>
    <row r="612" spans="1:8" ht="15" customHeight="1" x14ac:dyDescent="0.4">
      <c r="A612" s="133"/>
      <c r="B612" s="131">
        <f t="shared" si="19"/>
        <v>102</v>
      </c>
      <c r="C612" s="129" t="str">
        <f t="shared" si="18"/>
        <v>Chauffe-eau à pompe à chaleur ≤ 300 litres</v>
      </c>
      <c r="D612" s="107"/>
      <c r="E612" s="318"/>
      <c r="F612" s="339" t="s">
        <v>1810</v>
      </c>
      <c r="G612" s="340" t="s">
        <v>1673</v>
      </c>
      <c r="H612" s="341" t="s">
        <v>1716</v>
      </c>
    </row>
    <row r="613" spans="1:8" ht="15" customHeight="1" x14ac:dyDescent="0.4">
      <c r="A613" s="107"/>
      <c r="B613" s="131">
        <f t="shared" si="19"/>
        <v>103</v>
      </c>
      <c r="C613" s="129" t="str">
        <f t="shared" si="18"/>
        <v>Chauffage à induction</v>
      </c>
      <c r="D613" s="107"/>
      <c r="E613" s="318"/>
      <c r="F613" s="339" t="s">
        <v>1638</v>
      </c>
      <c r="G613" s="340" t="s">
        <v>1674</v>
      </c>
      <c r="H613" s="341" t="s">
        <v>1717</v>
      </c>
    </row>
    <row r="614" spans="1:8" ht="15" customHeight="1" x14ac:dyDescent="0.4">
      <c r="A614" s="107"/>
      <c r="B614" s="131">
        <f t="shared" si="19"/>
        <v>104</v>
      </c>
      <c r="C614" s="129" t="str">
        <f t="shared" si="18"/>
        <v xml:space="preserve">Systèmes à vide avec convertisseur de fréquence </v>
      </c>
      <c r="D614" s="107"/>
      <c r="E614" s="318"/>
      <c r="F614" s="339" t="s">
        <v>1643</v>
      </c>
      <c r="G614" s="340" t="s">
        <v>1675</v>
      </c>
      <c r="H614" s="341" t="s">
        <v>1718</v>
      </c>
    </row>
    <row r="615" spans="1:8" ht="15" customHeight="1" x14ac:dyDescent="0.4">
      <c r="A615" s="107"/>
      <c r="B615" s="131">
        <f t="shared" si="19"/>
        <v>105</v>
      </c>
      <c r="C615" s="129" t="str">
        <f t="shared" si="18"/>
        <v>Systèmes à pompes</v>
      </c>
      <c r="D615" s="107"/>
      <c r="E615" s="318"/>
      <c r="F615" s="339" t="s">
        <v>1644</v>
      </c>
      <c r="G615" s="340" t="s">
        <v>1676</v>
      </c>
      <c r="H615" s="341" t="s">
        <v>1719</v>
      </c>
    </row>
    <row r="616" spans="1:8" ht="15" customHeight="1" x14ac:dyDescent="0.4">
      <c r="A616" s="107"/>
      <c r="B616" s="131">
        <f t="shared" si="19"/>
        <v>106</v>
      </c>
      <c r="C616" s="129" t="str">
        <f t="shared" si="18"/>
        <v>Systèmes à pompes avec convertisseur de fréquence</v>
      </c>
      <c r="D616" s="107"/>
      <c r="E616" s="318"/>
      <c r="F616" s="339" t="s">
        <v>1645</v>
      </c>
      <c r="G616" s="340" t="s">
        <v>1677</v>
      </c>
      <c r="H616" s="341" t="s">
        <v>1720</v>
      </c>
    </row>
    <row r="617" spans="1:8" ht="15" customHeight="1" x14ac:dyDescent="0.4">
      <c r="A617" s="107"/>
      <c r="B617" s="131">
        <f t="shared" si="19"/>
        <v>107</v>
      </c>
      <c r="C617" s="129" t="str">
        <f t="shared" si="18"/>
        <v>Pompes de circulation (à rotor noyé) pour chauffages</v>
      </c>
      <c r="D617" s="107"/>
      <c r="E617" s="318"/>
      <c r="F617" s="339" t="s">
        <v>1664</v>
      </c>
      <c r="G617" s="340" t="s">
        <v>1699</v>
      </c>
      <c r="H617" s="341" t="s">
        <v>1721</v>
      </c>
    </row>
    <row r="618" spans="1:8" ht="15" customHeight="1" x14ac:dyDescent="0.4">
      <c r="A618" s="107"/>
      <c r="B618" s="131">
        <f t="shared" si="19"/>
        <v>108</v>
      </c>
      <c r="C618" s="129" t="str">
        <f t="shared" si="18"/>
        <v>Systèmes de ventilation</v>
      </c>
      <c r="D618" s="107"/>
      <c r="E618" s="318"/>
      <c r="F618" s="339" t="s">
        <v>1646</v>
      </c>
      <c r="G618" s="340" t="s">
        <v>1678</v>
      </c>
      <c r="H618" s="341" t="s">
        <v>1722</v>
      </c>
    </row>
    <row r="619" spans="1:8" ht="15" customHeight="1" x14ac:dyDescent="0.4">
      <c r="A619" s="107"/>
      <c r="B619" s="131">
        <f t="shared" si="19"/>
        <v>109</v>
      </c>
      <c r="C619" s="129" t="str">
        <f t="shared" si="18"/>
        <v>Systèmes de ventilation avec convertisseur de fréquence</v>
      </c>
      <c r="D619" s="107"/>
      <c r="E619" s="318"/>
      <c r="F619" s="339" t="s">
        <v>1647</v>
      </c>
      <c r="G619" s="340" t="s">
        <v>1679</v>
      </c>
      <c r="H619" s="341" t="s">
        <v>1723</v>
      </c>
    </row>
    <row r="620" spans="1:8" ht="15" customHeight="1" x14ac:dyDescent="0.4">
      <c r="A620" s="107"/>
      <c r="B620" s="131">
        <f t="shared" si="19"/>
        <v>110</v>
      </c>
      <c r="C620" s="129" t="str">
        <f t="shared" si="18"/>
        <v>Installations de réfrigération (climatisation)</v>
      </c>
      <c r="D620" s="107"/>
      <c r="E620" s="318"/>
      <c r="F620" s="339" t="s">
        <v>1648</v>
      </c>
      <c r="G620" s="340" t="s">
        <v>1680</v>
      </c>
      <c r="H620" s="341" t="s">
        <v>1724</v>
      </c>
    </row>
    <row r="621" spans="1:8" ht="15" customHeight="1" x14ac:dyDescent="0.4">
      <c r="A621" s="107"/>
      <c r="B621" s="131">
        <f t="shared" si="19"/>
        <v>111</v>
      </c>
      <c r="C621" s="129" t="str">
        <f t="shared" si="18"/>
        <v xml:space="preserve">Installations de réfrigération (processus) </v>
      </c>
      <c r="D621" s="107"/>
      <c r="E621" s="318"/>
      <c r="F621" s="339" t="s">
        <v>1665</v>
      </c>
      <c r="G621" s="340" t="s">
        <v>1681</v>
      </c>
      <c r="H621" s="341" t="s">
        <v>1725</v>
      </c>
    </row>
    <row r="622" spans="1:8" ht="15" customHeight="1" x14ac:dyDescent="0.4">
      <c r="A622" s="107"/>
      <c r="B622" s="131">
        <f t="shared" si="19"/>
        <v>112</v>
      </c>
      <c r="C622" s="129" t="str">
        <f t="shared" si="18"/>
        <v xml:space="preserve">Compresseurs (sans huile) </v>
      </c>
      <c r="D622" s="107"/>
      <c r="E622" s="318"/>
      <c r="F622" s="339" t="s">
        <v>1666</v>
      </c>
      <c r="G622" s="340" t="s">
        <v>1682</v>
      </c>
      <c r="H622" s="341" t="s">
        <v>1726</v>
      </c>
    </row>
    <row r="623" spans="1:8" ht="15" customHeight="1" x14ac:dyDescent="0.4">
      <c r="A623" s="107"/>
      <c r="B623" s="131">
        <f t="shared" si="19"/>
        <v>113</v>
      </c>
      <c r="C623" s="129" t="str">
        <f t="shared" si="18"/>
        <v>Compresseurs (sans huile)  avec convertisseur de fréquence</v>
      </c>
      <c r="D623" s="107"/>
      <c r="E623" s="318"/>
      <c r="F623" s="339" t="s">
        <v>1667</v>
      </c>
      <c r="G623" s="340" t="s">
        <v>1700</v>
      </c>
      <c r="H623" s="341" t="s">
        <v>1727</v>
      </c>
    </row>
    <row r="624" spans="1:8" ht="15" customHeight="1" x14ac:dyDescent="0.4">
      <c r="A624" s="107"/>
      <c r="B624" s="131">
        <f t="shared" si="19"/>
        <v>114</v>
      </c>
      <c r="C624" s="129" t="str">
        <f t="shared" si="18"/>
        <v>Compresseurs (à injection d'huile)</v>
      </c>
      <c r="D624" s="107"/>
      <c r="E624" s="318"/>
      <c r="F624" s="339" t="s">
        <v>1649</v>
      </c>
      <c r="G624" s="340" t="s">
        <v>1701</v>
      </c>
      <c r="H624" s="341" t="s">
        <v>1728</v>
      </c>
    </row>
    <row r="625" spans="1:8" ht="15" customHeight="1" x14ac:dyDescent="0.4">
      <c r="A625" s="107"/>
      <c r="B625" s="131">
        <f t="shared" si="19"/>
        <v>115</v>
      </c>
      <c r="C625" s="129" t="str">
        <f t="shared" si="18"/>
        <v>Compresseurs (à injection d'huile)avec convertisseur de fréquence</v>
      </c>
      <c r="D625" s="107"/>
      <c r="E625" s="318"/>
      <c r="F625" s="339" t="s">
        <v>1668</v>
      </c>
      <c r="G625" s="340" t="s">
        <v>1702</v>
      </c>
      <c r="H625" s="341" t="s">
        <v>1729</v>
      </c>
    </row>
    <row r="626" spans="1:8" ht="15" customHeight="1" x14ac:dyDescent="0.4">
      <c r="A626" s="107"/>
      <c r="B626" s="131">
        <f t="shared" si="19"/>
        <v>116</v>
      </c>
      <c r="C626" s="129" t="str">
        <f t="shared" si="18"/>
        <v>Ascenseurs et escaliers roulants</v>
      </c>
      <c r="D626" s="107"/>
      <c r="E626" s="318"/>
      <c r="F626" s="339" t="s">
        <v>1650</v>
      </c>
      <c r="G626" s="340" t="s">
        <v>1683</v>
      </c>
      <c r="H626" s="341" t="s">
        <v>1730</v>
      </c>
    </row>
    <row r="627" spans="1:8" ht="15" customHeight="1" x14ac:dyDescent="0.4">
      <c r="A627" s="107"/>
      <c r="B627" s="131">
        <f t="shared" si="19"/>
        <v>117</v>
      </c>
      <c r="C627" s="129" t="str">
        <f t="shared" si="18"/>
        <v>Systèmes d'alimentation électrique sans coupure</v>
      </c>
      <c r="D627" s="107"/>
      <c r="E627" s="318"/>
      <c r="F627" s="339" t="s">
        <v>1651</v>
      </c>
      <c r="G627" s="340" t="s">
        <v>1684</v>
      </c>
      <c r="H627" s="341" t="s">
        <v>1731</v>
      </c>
    </row>
    <row r="628" spans="1:8" ht="15" customHeight="1" x14ac:dyDescent="0.4">
      <c r="A628" s="107"/>
      <c r="B628" s="131">
        <f t="shared" si="19"/>
        <v>118</v>
      </c>
      <c r="C628" s="129" t="str">
        <f t="shared" si="18"/>
        <v>Installations à redressesur de courant</v>
      </c>
      <c r="D628" s="107"/>
      <c r="E628" s="318"/>
      <c r="F628" s="339" t="s">
        <v>1652</v>
      </c>
      <c r="G628" s="340" t="s">
        <v>1685</v>
      </c>
      <c r="H628" s="341" t="s">
        <v>1732</v>
      </c>
    </row>
    <row r="629" spans="1:8" ht="15" customHeight="1" x14ac:dyDescent="0.4">
      <c r="A629" s="107"/>
      <c r="B629" s="131">
        <f t="shared" si="19"/>
        <v>119</v>
      </c>
      <c r="C629" s="129" t="str">
        <f t="shared" si="18"/>
        <v>Installations ORC pour autoproduction de courant</v>
      </c>
      <c r="D629" s="107"/>
      <c r="E629" s="318"/>
      <c r="F629" s="339" t="s">
        <v>1653</v>
      </c>
      <c r="G629" s="340" t="s">
        <v>1686</v>
      </c>
      <c r="H629" s="341" t="s">
        <v>1733</v>
      </c>
    </row>
    <row r="630" spans="1:8" ht="15" customHeight="1" x14ac:dyDescent="0.4">
      <c r="A630" s="107"/>
      <c r="B630" s="131">
        <f t="shared" si="19"/>
        <v>120</v>
      </c>
      <c r="C630" s="129" t="str">
        <f t="shared" si="18"/>
        <v>Installations à expansion de gaz pour autoproduction de courant</v>
      </c>
      <c r="D630" s="107"/>
      <c r="E630" s="318"/>
      <c r="F630" s="339" t="s">
        <v>1654</v>
      </c>
      <c r="G630" s="340" t="s">
        <v>1687</v>
      </c>
      <c r="H630" s="341" t="s">
        <v>1734</v>
      </c>
    </row>
    <row r="631" spans="1:8" ht="15" customHeight="1" x14ac:dyDescent="0.4">
      <c r="A631" s="107"/>
      <c r="B631" s="131">
        <f t="shared" si="19"/>
        <v>121</v>
      </c>
      <c r="C631" s="129" t="str">
        <f t="shared" si="18"/>
        <v>Transformateurs</v>
      </c>
      <c r="D631" s="107"/>
      <c r="E631" s="318"/>
      <c r="F631" s="339" t="s">
        <v>1655</v>
      </c>
      <c r="G631" s="340" t="s">
        <v>1688</v>
      </c>
      <c r="H631" s="341" t="s">
        <v>1735</v>
      </c>
    </row>
    <row r="632" spans="1:8" ht="15" customHeight="1" x14ac:dyDescent="0.4">
      <c r="A632" s="107"/>
      <c r="B632" s="131">
        <f t="shared" si="19"/>
        <v>122</v>
      </c>
      <c r="C632" s="129" t="str">
        <f t="shared" si="18"/>
        <v>Eclairage d'intérieur (halles)</v>
      </c>
      <c r="D632" s="107"/>
      <c r="E632" s="318"/>
      <c r="F632" s="339" t="s">
        <v>1656</v>
      </c>
      <c r="G632" s="340" t="s">
        <v>1689</v>
      </c>
      <c r="H632" s="341" t="s">
        <v>1736</v>
      </c>
    </row>
    <row r="633" spans="1:8" ht="15" customHeight="1" x14ac:dyDescent="0.4">
      <c r="A633" s="107"/>
      <c r="B633" s="131">
        <f t="shared" si="19"/>
        <v>123</v>
      </c>
      <c r="C633" s="129" t="str">
        <f t="shared" si="18"/>
        <v>Eclairage d'intérieur (bureaux)</v>
      </c>
      <c r="D633" s="107"/>
      <c r="E633" s="318"/>
      <c r="F633" s="339" t="s">
        <v>1657</v>
      </c>
      <c r="G633" s="340" t="s">
        <v>1690</v>
      </c>
      <c r="H633" s="341" t="s">
        <v>1737</v>
      </c>
    </row>
    <row r="634" spans="1:8" ht="15" customHeight="1" x14ac:dyDescent="0.4">
      <c r="A634" s="107"/>
      <c r="B634" s="131">
        <f t="shared" si="19"/>
        <v>124</v>
      </c>
      <c r="C634" s="129" t="str">
        <f t="shared" si="18"/>
        <v>Eclairage d'intérieur (locaux de vente)</v>
      </c>
      <c r="D634" s="107"/>
      <c r="E634" s="318"/>
      <c r="F634" s="339" t="s">
        <v>1658</v>
      </c>
      <c r="G634" s="340" t="s">
        <v>1691</v>
      </c>
      <c r="H634" s="341" t="s">
        <v>1738</v>
      </c>
    </row>
    <row r="635" spans="1:8" ht="15" customHeight="1" x14ac:dyDescent="0.4">
      <c r="A635" s="107"/>
      <c r="B635" s="131">
        <f t="shared" si="19"/>
        <v>125</v>
      </c>
      <c r="C635" s="129" t="str">
        <f t="shared" si="18"/>
        <v>Eclairage d'intérieur (autres)</v>
      </c>
      <c r="D635" s="107"/>
      <c r="E635" s="318"/>
      <c r="F635" s="339" t="s">
        <v>1659</v>
      </c>
      <c r="G635" s="340" t="s">
        <v>1692</v>
      </c>
      <c r="H635" s="341" t="s">
        <v>1739</v>
      </c>
    </row>
    <row r="636" spans="1:8" ht="15" customHeight="1" x14ac:dyDescent="0.4">
      <c r="A636" s="107"/>
      <c r="B636" s="131">
        <f t="shared" si="19"/>
        <v>126</v>
      </c>
      <c r="C636" s="129" t="str">
        <f t="shared" si="18"/>
        <v>Eclairage d'intérieur (bâtiments résidentiels)</v>
      </c>
      <c r="D636" s="107"/>
      <c r="E636" s="318"/>
      <c r="F636" s="339" t="s">
        <v>1660</v>
      </c>
      <c r="G636" s="340" t="s">
        <v>1693</v>
      </c>
      <c r="H636" s="341" t="s">
        <v>1740</v>
      </c>
    </row>
    <row r="637" spans="1:8" ht="15" customHeight="1" x14ac:dyDescent="0.4">
      <c r="A637" s="107"/>
      <c r="B637" s="131">
        <f t="shared" si="19"/>
        <v>127</v>
      </c>
      <c r="C637" s="129" t="str">
        <f t="shared" si="18"/>
        <v>Eclairage extérieur (routes et surfaces de circulation)</v>
      </c>
      <c r="D637" s="107"/>
      <c r="E637" s="318"/>
      <c r="F637" s="339" t="s">
        <v>1661</v>
      </c>
      <c r="G637" s="340" t="s">
        <v>1694</v>
      </c>
      <c r="H637" s="341" t="s">
        <v>1741</v>
      </c>
    </row>
    <row r="638" spans="1:8" ht="15" customHeight="1" x14ac:dyDescent="0.4">
      <c r="A638" s="107"/>
      <c r="B638" s="131">
        <f t="shared" si="19"/>
        <v>128</v>
      </c>
      <c r="C638" s="129" t="str">
        <f t="shared" si="18"/>
        <v>Eclairage extérieur (tunnels)</v>
      </c>
      <c r="D638" s="107"/>
      <c r="E638" s="318"/>
      <c r="F638" s="339" t="s">
        <v>1662</v>
      </c>
      <c r="G638" s="340" t="s">
        <v>1695</v>
      </c>
      <c r="H638" s="341" t="s">
        <v>1742</v>
      </c>
    </row>
    <row r="639" spans="1:8" ht="15" customHeight="1" x14ac:dyDescent="0.4">
      <c r="A639" s="107"/>
      <c r="B639" s="131">
        <f t="shared" si="19"/>
        <v>129</v>
      </c>
      <c r="C639" s="129" t="str">
        <f t="shared" si="18"/>
        <v>Eclairage extérieur (bâtiments)</v>
      </c>
      <c r="D639" s="107"/>
      <c r="E639" s="318"/>
      <c r="F639" s="339" t="s">
        <v>1705</v>
      </c>
      <c r="G639" s="340" t="s">
        <v>1696</v>
      </c>
      <c r="H639" s="341" t="s">
        <v>1743</v>
      </c>
    </row>
    <row r="640" spans="1:8" ht="15" customHeight="1" x14ac:dyDescent="0.4">
      <c r="A640" s="107"/>
      <c r="B640" s="131">
        <f t="shared" si="19"/>
        <v>130</v>
      </c>
      <c r="C640" s="129" t="str">
        <f t="shared" si="18"/>
        <v>Autres technologies</v>
      </c>
      <c r="D640" s="107"/>
      <c r="E640" s="318"/>
      <c r="F640" s="313" t="s">
        <v>1663</v>
      </c>
      <c r="G640" s="319" t="s">
        <v>1697</v>
      </c>
      <c r="H640" s="326" t="s">
        <v>1744</v>
      </c>
    </row>
    <row r="641" spans="1:8" ht="15" customHeight="1" x14ac:dyDescent="0.4">
      <c r="A641" s="107"/>
      <c r="B641" s="131">
        <f t="shared" si="19"/>
        <v>131</v>
      </c>
      <c r="C641" s="129" t="str">
        <f t="shared" si="18"/>
        <v>Type de technologie</v>
      </c>
      <c r="D641" s="107"/>
      <c r="E641" s="318"/>
      <c r="F641" s="313" t="s">
        <v>1703</v>
      </c>
      <c r="G641" s="319" t="s">
        <v>1704</v>
      </c>
      <c r="H641" s="326" t="s">
        <v>1745</v>
      </c>
    </row>
    <row r="642" spans="1:8" ht="15" customHeight="1" x14ac:dyDescent="0.4">
      <c r="A642" s="107"/>
      <c r="B642" s="131">
        <f t="shared" si="19"/>
        <v>132</v>
      </c>
      <c r="C642" s="129" t="str">
        <f t="shared" si="18"/>
        <v>Industrie</v>
      </c>
      <c r="D642" s="107"/>
      <c r="E642" s="318"/>
      <c r="F642" s="313" t="s">
        <v>1633</v>
      </c>
      <c r="G642" s="319" t="s">
        <v>1633</v>
      </c>
      <c r="H642" s="326" t="s">
        <v>1746</v>
      </c>
    </row>
    <row r="643" spans="1:8" ht="15" customHeight="1" x14ac:dyDescent="0.4">
      <c r="A643" s="107"/>
      <c r="B643" s="131">
        <f t="shared" si="19"/>
        <v>133</v>
      </c>
      <c r="C643" s="129" t="str">
        <f t="shared" si="18"/>
        <v>Industrie (PME)</v>
      </c>
      <c r="D643" s="107"/>
      <c r="E643" s="318"/>
      <c r="F643" s="334" t="s">
        <v>1794</v>
      </c>
      <c r="G643" s="319" t="s">
        <v>1786</v>
      </c>
      <c r="H643" s="326" t="s">
        <v>1799</v>
      </c>
    </row>
    <row r="644" spans="1:8" ht="15" customHeight="1" x14ac:dyDescent="0.4">
      <c r="A644" s="107"/>
      <c r="B644" s="131">
        <f t="shared" si="19"/>
        <v>134</v>
      </c>
      <c r="C644" s="129" t="str">
        <f t="shared" si="18"/>
        <v>Artisanat</v>
      </c>
      <c r="D644" s="107"/>
      <c r="E644" s="318"/>
      <c r="F644" s="313" t="s">
        <v>1635</v>
      </c>
      <c r="G644" s="319" t="s">
        <v>1707</v>
      </c>
      <c r="H644" s="326" t="s">
        <v>1747</v>
      </c>
    </row>
    <row r="645" spans="1:8" ht="15" customHeight="1" x14ac:dyDescent="0.4">
      <c r="A645" s="107"/>
      <c r="B645" s="131">
        <f t="shared" si="19"/>
        <v>135</v>
      </c>
      <c r="C645" s="129" t="str">
        <f t="shared" ref="C645:C690" si="20">IF($B$1="f",F645,IF($B$1="d",G645,H645))</f>
        <v>Artisanat (PME)</v>
      </c>
      <c r="D645" s="107"/>
      <c r="E645" s="318"/>
      <c r="F645" s="334" t="s">
        <v>1795</v>
      </c>
      <c r="G645" s="319" t="s">
        <v>1787</v>
      </c>
      <c r="H645" s="326" t="s">
        <v>1800</v>
      </c>
    </row>
    <row r="646" spans="1:8" ht="15" customHeight="1" x14ac:dyDescent="0.4">
      <c r="A646" s="107"/>
      <c r="B646" s="131">
        <f t="shared" ref="B646:B699" si="21">B645+1</f>
        <v>136</v>
      </c>
      <c r="C646" s="129" t="str">
        <f t="shared" si="20"/>
        <v>Commerce</v>
      </c>
      <c r="D646" s="107"/>
      <c r="E646" s="318"/>
      <c r="F646" s="313" t="s">
        <v>1637</v>
      </c>
      <c r="G646" s="319" t="s">
        <v>1788</v>
      </c>
      <c r="H646" s="326" t="s">
        <v>1801</v>
      </c>
    </row>
    <row r="647" spans="1:8" ht="15" customHeight="1" x14ac:dyDescent="0.4">
      <c r="A647" s="107"/>
      <c r="B647" s="131">
        <f t="shared" si="21"/>
        <v>137</v>
      </c>
      <c r="C647" s="129" t="str">
        <f t="shared" si="20"/>
        <v>Commerce (PME)</v>
      </c>
      <c r="D647" s="107"/>
      <c r="E647" s="318"/>
      <c r="F647" s="334" t="s">
        <v>1796</v>
      </c>
      <c r="G647" s="319" t="s">
        <v>1708</v>
      </c>
      <c r="H647" s="326" t="s">
        <v>1748</v>
      </c>
    </row>
    <row r="648" spans="1:8" ht="15" customHeight="1" x14ac:dyDescent="0.4">
      <c r="A648" s="107"/>
      <c r="B648" s="131">
        <f t="shared" si="21"/>
        <v>138</v>
      </c>
      <c r="C648" s="129" t="str">
        <f t="shared" si="20"/>
        <v>Secteur</v>
      </c>
      <c r="D648" s="107"/>
      <c r="E648" s="318"/>
      <c r="F648" s="313" t="s">
        <v>1862</v>
      </c>
      <c r="G648" s="319" t="s">
        <v>1863</v>
      </c>
      <c r="H648" s="326" t="s">
        <v>1864</v>
      </c>
    </row>
    <row r="649" spans="1:8" ht="15" customHeight="1" x14ac:dyDescent="0.4">
      <c r="A649" s="107"/>
      <c r="B649" s="131">
        <f t="shared" si="21"/>
        <v>139</v>
      </c>
      <c r="C649" s="129" t="str">
        <f t="shared" si="20"/>
        <v>Services (PME)</v>
      </c>
      <c r="D649" s="107"/>
      <c r="E649" s="318"/>
      <c r="F649" s="313" t="s">
        <v>1797</v>
      </c>
      <c r="G649" s="319" t="s">
        <v>1789</v>
      </c>
      <c r="H649" s="326" t="s">
        <v>1802</v>
      </c>
    </row>
    <row r="650" spans="1:8" ht="15" customHeight="1" x14ac:dyDescent="0.4">
      <c r="A650" s="107"/>
      <c r="B650" s="131">
        <f t="shared" si="21"/>
        <v>140</v>
      </c>
      <c r="C650" s="129" t="str">
        <f t="shared" si="20"/>
        <v>Agriculture</v>
      </c>
      <c r="D650" s="107"/>
      <c r="E650" s="318"/>
      <c r="F650" s="313" t="s">
        <v>1639</v>
      </c>
      <c r="G650" s="319" t="s">
        <v>1709</v>
      </c>
      <c r="H650" s="326" t="s">
        <v>1749</v>
      </c>
    </row>
    <row r="651" spans="1:8" ht="15" customHeight="1" x14ac:dyDescent="0.4">
      <c r="A651" s="107"/>
      <c r="B651" s="131">
        <f t="shared" si="21"/>
        <v>141</v>
      </c>
      <c r="C651" s="129" t="str">
        <f t="shared" si="20"/>
        <v>Agriculture (PME)</v>
      </c>
      <c r="D651" s="107"/>
      <c r="E651" s="318"/>
      <c r="F651" s="313" t="s">
        <v>1798</v>
      </c>
      <c r="G651" s="319" t="s">
        <v>1790</v>
      </c>
      <c r="H651" s="326" t="s">
        <v>1803</v>
      </c>
    </row>
    <row r="652" spans="1:8" ht="15" customHeight="1" x14ac:dyDescent="0.4">
      <c r="A652" s="107"/>
      <c r="B652" s="131">
        <f t="shared" si="21"/>
        <v>142</v>
      </c>
      <c r="C652" s="129" t="str">
        <f t="shared" si="20"/>
        <v>Ménages</v>
      </c>
      <c r="D652" s="107"/>
      <c r="E652" s="318"/>
      <c r="F652" s="313" t="s">
        <v>1641</v>
      </c>
      <c r="G652" s="319" t="s">
        <v>1710</v>
      </c>
      <c r="H652" s="326" t="s">
        <v>1750</v>
      </c>
    </row>
    <row r="653" spans="1:8" ht="15" customHeight="1" x14ac:dyDescent="0.4">
      <c r="A653" s="107"/>
      <c r="B653" s="131">
        <f t="shared" si="21"/>
        <v>143</v>
      </c>
      <c r="C653" s="129" t="str">
        <f t="shared" si="20"/>
        <v xml:space="preserve">Chaudières </v>
      </c>
      <c r="D653" s="107"/>
      <c r="E653" s="318"/>
      <c r="F653" s="313" t="s">
        <v>1632</v>
      </c>
      <c r="G653" s="319" t="s">
        <v>1669</v>
      </c>
      <c r="H653" s="326" t="s">
        <v>1711</v>
      </c>
    </row>
    <row r="654" spans="1:8" ht="15" customHeight="1" x14ac:dyDescent="0.4">
      <c r="A654" s="107"/>
      <c r="B654" s="131">
        <f t="shared" si="21"/>
        <v>144</v>
      </c>
      <c r="C654" s="129" t="str">
        <f t="shared" si="20"/>
        <v>Séchoirs</v>
      </c>
      <c r="D654" s="107"/>
      <c r="E654" s="318"/>
      <c r="F654" s="313" t="s">
        <v>1634</v>
      </c>
      <c r="G654" s="319" t="s">
        <v>1670</v>
      </c>
      <c r="H654" s="326" t="s">
        <v>1712</v>
      </c>
    </row>
    <row r="655" spans="1:8" ht="15" customHeight="1" x14ac:dyDescent="0.4">
      <c r="A655" s="107"/>
      <c r="B655" s="131">
        <f t="shared" si="21"/>
        <v>145</v>
      </c>
      <c r="C655" s="129" t="str">
        <f t="shared" si="20"/>
        <v>Chauffe-eau à pompe à chaleur</v>
      </c>
      <c r="D655" s="107"/>
      <c r="E655" s="318"/>
      <c r="F655" s="313" t="s">
        <v>1636</v>
      </c>
      <c r="G655" s="319" t="s">
        <v>1698</v>
      </c>
      <c r="H655" s="326" t="s">
        <v>1713</v>
      </c>
    </row>
    <row r="656" spans="1:8" ht="15" customHeight="1" x14ac:dyDescent="0.4">
      <c r="A656" s="107"/>
      <c r="B656" s="131">
        <f t="shared" si="21"/>
        <v>146</v>
      </c>
      <c r="C656" s="129" t="str">
        <f t="shared" si="20"/>
        <v>Chauffage à induction</v>
      </c>
      <c r="D656" s="107"/>
      <c r="E656" s="318"/>
      <c r="F656" s="313" t="s">
        <v>1638</v>
      </c>
      <c r="G656" s="319" t="s">
        <v>1671</v>
      </c>
      <c r="H656" s="326" t="s">
        <v>1714</v>
      </c>
    </row>
    <row r="657" spans="1:8" ht="15" customHeight="1" x14ac:dyDescent="0.4">
      <c r="A657" s="107"/>
      <c r="B657" s="131">
        <f t="shared" si="21"/>
        <v>147</v>
      </c>
      <c r="C657" s="129" t="str">
        <f t="shared" si="20"/>
        <v>Moteurs électriques &lt;20 kW</v>
      </c>
      <c r="D657" s="107"/>
      <c r="E657" s="318"/>
      <c r="F657" s="313" t="s">
        <v>1811</v>
      </c>
      <c r="G657" s="319" t="s">
        <v>1812</v>
      </c>
      <c r="H657" s="326" t="s">
        <v>1822</v>
      </c>
    </row>
    <row r="658" spans="1:8" ht="15" customHeight="1" x14ac:dyDescent="0.4">
      <c r="A658" s="107"/>
      <c r="B658" s="131">
        <f t="shared" si="21"/>
        <v>148</v>
      </c>
      <c r="C658" s="129" t="str">
        <f t="shared" si="20"/>
        <v>Moteurs électriques ou systèmes d'entrainement ≥ 20 kW</v>
      </c>
      <c r="D658" s="107"/>
      <c r="E658" s="318"/>
      <c r="F658" s="313" t="s">
        <v>1883</v>
      </c>
      <c r="G658" s="319" t="s">
        <v>1884</v>
      </c>
      <c r="H658" s="326" t="s">
        <v>1885</v>
      </c>
    </row>
    <row r="659" spans="1:8" ht="15" customHeight="1" x14ac:dyDescent="0.4">
      <c r="A659" s="107"/>
      <c r="B659" s="131">
        <f t="shared" si="21"/>
        <v>149</v>
      </c>
      <c r="C659" s="129" t="str">
        <f t="shared" si="20"/>
        <v>Convertisseurs de fréquence</v>
      </c>
      <c r="D659" s="107"/>
      <c r="E659" s="318"/>
      <c r="F659" s="313" t="s">
        <v>1640</v>
      </c>
      <c r="G659" s="319" t="s">
        <v>1673</v>
      </c>
      <c r="H659" s="326" t="s">
        <v>1716</v>
      </c>
    </row>
    <row r="660" spans="1:8" ht="15" customHeight="1" x14ac:dyDescent="0.4">
      <c r="A660" s="107"/>
      <c r="B660" s="131">
        <f t="shared" si="21"/>
        <v>150</v>
      </c>
      <c r="C660" s="129" t="str">
        <f t="shared" si="20"/>
        <v xml:space="preserve">Systèmes à vide </v>
      </c>
      <c r="D660" s="107"/>
      <c r="E660" s="318"/>
      <c r="F660" s="313" t="s">
        <v>1642</v>
      </c>
      <c r="G660" s="319" t="s">
        <v>1674</v>
      </c>
      <c r="H660" s="326" t="s">
        <v>1813</v>
      </c>
    </row>
    <row r="661" spans="1:8" ht="15" customHeight="1" x14ac:dyDescent="0.4">
      <c r="A661" s="107"/>
      <c r="B661" s="131">
        <f t="shared" si="21"/>
        <v>151</v>
      </c>
      <c r="C661" s="129" t="str">
        <f t="shared" si="20"/>
        <v xml:space="preserve">Systèmes à vide avec convertisseur de fréquence </v>
      </c>
      <c r="D661" s="107"/>
      <c r="E661" s="318"/>
      <c r="F661" s="313" t="s">
        <v>1643</v>
      </c>
      <c r="G661" s="319" t="s">
        <v>1675</v>
      </c>
      <c r="H661" s="326" t="s">
        <v>1718</v>
      </c>
    </row>
    <row r="662" spans="1:8" ht="15" customHeight="1" x14ac:dyDescent="0.4">
      <c r="A662" s="107"/>
      <c r="B662" s="131">
        <f t="shared" si="21"/>
        <v>152</v>
      </c>
      <c r="C662" s="129" t="str">
        <f t="shared" si="20"/>
        <v>Systèmes à pompes</v>
      </c>
      <c r="D662" s="107"/>
      <c r="E662" s="318"/>
      <c r="F662" s="313" t="s">
        <v>1644</v>
      </c>
      <c r="G662" s="319" t="s">
        <v>1676</v>
      </c>
      <c r="H662" s="326" t="s">
        <v>1719</v>
      </c>
    </row>
    <row r="663" spans="1:8" ht="15" customHeight="1" x14ac:dyDescent="0.4">
      <c r="A663" s="107"/>
      <c r="B663" s="131">
        <f t="shared" si="21"/>
        <v>153</v>
      </c>
      <c r="C663" s="129" t="str">
        <f t="shared" si="20"/>
        <v>Systèmes à pompes avec convertisseur de fréquence</v>
      </c>
      <c r="D663" s="107"/>
      <c r="E663" s="318"/>
      <c r="F663" s="313" t="s">
        <v>1645</v>
      </c>
      <c r="G663" s="319" t="s">
        <v>1677</v>
      </c>
      <c r="H663" s="326" t="s">
        <v>1814</v>
      </c>
    </row>
    <row r="664" spans="1:8" ht="15" customHeight="1" x14ac:dyDescent="0.4">
      <c r="A664" s="107"/>
      <c r="B664" s="131">
        <f t="shared" si="21"/>
        <v>154</v>
      </c>
      <c r="C664" s="129" t="str">
        <f t="shared" si="20"/>
        <v>Pompes de circulation (à rotor noyé) pour chauffages</v>
      </c>
      <c r="D664" s="107"/>
      <c r="E664" s="318"/>
      <c r="F664" s="313" t="s">
        <v>1664</v>
      </c>
      <c r="G664" s="319" t="s">
        <v>1699</v>
      </c>
      <c r="H664" s="326" t="s">
        <v>1815</v>
      </c>
    </row>
    <row r="665" spans="1:8" ht="15" customHeight="1" x14ac:dyDescent="0.4">
      <c r="A665" s="107"/>
      <c r="B665" s="131">
        <f t="shared" si="21"/>
        <v>155</v>
      </c>
      <c r="C665" s="129" t="str">
        <f t="shared" si="20"/>
        <v>Systèmes de ventilation</v>
      </c>
      <c r="D665" s="107"/>
      <c r="E665" s="318"/>
      <c r="F665" s="313" t="s">
        <v>1646</v>
      </c>
      <c r="G665" s="319" t="s">
        <v>1678</v>
      </c>
      <c r="H665" s="326" t="s">
        <v>1816</v>
      </c>
    </row>
    <row r="666" spans="1:8" ht="15" customHeight="1" x14ac:dyDescent="0.4">
      <c r="A666" s="107"/>
      <c r="B666" s="131">
        <f t="shared" si="21"/>
        <v>156</v>
      </c>
      <c r="C666" s="129" t="str">
        <f t="shared" si="20"/>
        <v>Systèmes de ventilation avec convertisseur de fréquence</v>
      </c>
      <c r="D666" s="107"/>
      <c r="E666" s="318"/>
      <c r="F666" s="313" t="s">
        <v>1647</v>
      </c>
      <c r="G666" s="319" t="s">
        <v>1679</v>
      </c>
      <c r="H666" s="326" t="s">
        <v>1817</v>
      </c>
    </row>
    <row r="667" spans="1:8" ht="15" customHeight="1" x14ac:dyDescent="0.4">
      <c r="A667" s="107"/>
      <c r="B667" s="131">
        <f t="shared" si="21"/>
        <v>157</v>
      </c>
      <c r="C667" s="129" t="str">
        <f t="shared" si="20"/>
        <v>Installations de réfrigération (climatisation)</v>
      </c>
      <c r="D667" s="107"/>
      <c r="E667" s="318"/>
      <c r="F667" s="313" t="s">
        <v>1648</v>
      </c>
      <c r="G667" s="319" t="s">
        <v>1680</v>
      </c>
      <c r="H667" s="326" t="s">
        <v>1724</v>
      </c>
    </row>
    <row r="668" spans="1:8" ht="15" customHeight="1" x14ac:dyDescent="0.4">
      <c r="A668" s="107"/>
      <c r="B668" s="131">
        <f t="shared" si="21"/>
        <v>158</v>
      </c>
      <c r="C668" s="129" t="str">
        <f t="shared" si="20"/>
        <v xml:space="preserve">Installations de réfrigération (processus) </v>
      </c>
      <c r="D668" s="107"/>
      <c r="E668" s="318"/>
      <c r="F668" s="313" t="s">
        <v>1665</v>
      </c>
      <c r="G668" s="319" t="s">
        <v>1681</v>
      </c>
      <c r="H668" s="326" t="s">
        <v>1818</v>
      </c>
    </row>
    <row r="669" spans="1:8" ht="15" customHeight="1" x14ac:dyDescent="0.4">
      <c r="A669" s="107"/>
      <c r="B669" s="131">
        <f t="shared" si="21"/>
        <v>159</v>
      </c>
      <c r="C669" s="129" t="str">
        <f t="shared" si="20"/>
        <v xml:space="preserve">Compresseurs (sans huile) </v>
      </c>
      <c r="D669" s="107"/>
      <c r="E669" s="318"/>
      <c r="F669" s="313" t="s">
        <v>1666</v>
      </c>
      <c r="G669" s="319" t="s">
        <v>1682</v>
      </c>
      <c r="H669" s="326" t="s">
        <v>1819</v>
      </c>
    </row>
    <row r="670" spans="1:8" ht="15" customHeight="1" x14ac:dyDescent="0.4">
      <c r="A670" s="107"/>
      <c r="B670" s="131">
        <f t="shared" si="21"/>
        <v>160</v>
      </c>
      <c r="C670" s="129" t="str">
        <f t="shared" si="20"/>
        <v>Compresseurs (sans huile)  avec convertisseur de fréquence</v>
      </c>
      <c r="D670" s="107"/>
      <c r="E670" s="318"/>
      <c r="F670" s="313" t="s">
        <v>1667</v>
      </c>
      <c r="G670" s="319" t="s">
        <v>1700</v>
      </c>
      <c r="H670" s="326" t="s">
        <v>1727</v>
      </c>
    </row>
    <row r="671" spans="1:8" ht="15" customHeight="1" x14ac:dyDescent="0.4">
      <c r="A671" s="107"/>
      <c r="B671" s="131">
        <f t="shared" si="21"/>
        <v>161</v>
      </c>
      <c r="C671" s="129" t="str">
        <f t="shared" si="20"/>
        <v>Compresseurs (à injection d'huile)</v>
      </c>
      <c r="D671" s="107"/>
      <c r="E671" s="318"/>
      <c r="F671" s="313" t="s">
        <v>1649</v>
      </c>
      <c r="G671" s="319" t="s">
        <v>1701</v>
      </c>
      <c r="H671" s="326" t="s">
        <v>1820</v>
      </c>
    </row>
    <row r="672" spans="1:8" ht="15" customHeight="1" x14ac:dyDescent="0.4">
      <c r="A672" s="107"/>
      <c r="B672" s="131">
        <f t="shared" si="21"/>
        <v>162</v>
      </c>
      <c r="C672" s="129" t="str">
        <f t="shared" si="20"/>
        <v>Compresseurs (à injection d'huile)avec convertisseur de fréquence</v>
      </c>
      <c r="D672" s="107"/>
      <c r="E672" s="318"/>
      <c r="F672" s="313" t="s">
        <v>1668</v>
      </c>
      <c r="G672" s="319" t="s">
        <v>1702</v>
      </c>
      <c r="H672" s="326" t="s">
        <v>1821</v>
      </c>
    </row>
    <row r="673" spans="1:8" ht="15" customHeight="1" x14ac:dyDescent="0.4">
      <c r="A673" s="107"/>
      <c r="B673" s="131">
        <f t="shared" si="21"/>
        <v>163</v>
      </c>
      <c r="C673" s="129" t="str">
        <f t="shared" si="20"/>
        <v>Ascenseurs et escaliers roulants</v>
      </c>
      <c r="D673" s="107"/>
      <c r="E673" s="318"/>
      <c r="F673" s="313" t="s">
        <v>1650</v>
      </c>
      <c r="G673" s="319" t="s">
        <v>1683</v>
      </c>
      <c r="H673" s="326" t="s">
        <v>1730</v>
      </c>
    </row>
    <row r="674" spans="1:8" ht="15" customHeight="1" x14ac:dyDescent="0.4">
      <c r="A674" s="107"/>
      <c r="B674" s="131">
        <f t="shared" si="21"/>
        <v>164</v>
      </c>
      <c r="C674" s="129" t="str">
        <f t="shared" si="20"/>
        <v>Systèmes d'alimentation électrique sans coupure</v>
      </c>
      <c r="D674" s="107"/>
      <c r="E674" s="318"/>
      <c r="F674" s="313" t="s">
        <v>1651</v>
      </c>
      <c r="G674" s="319" t="s">
        <v>1684</v>
      </c>
      <c r="H674" s="326" t="s">
        <v>1731</v>
      </c>
    </row>
    <row r="675" spans="1:8" ht="15" customHeight="1" x14ac:dyDescent="0.4">
      <c r="A675" s="107"/>
      <c r="B675" s="131">
        <f t="shared" si="21"/>
        <v>165</v>
      </c>
      <c r="C675" s="129" t="str">
        <f t="shared" si="20"/>
        <v>Installations à redressesur de courant ≥ 50 kW</v>
      </c>
      <c r="D675" s="107"/>
      <c r="E675" s="318"/>
      <c r="F675" s="313" t="s">
        <v>1835</v>
      </c>
      <c r="G675" s="319" t="s">
        <v>1836</v>
      </c>
      <c r="H675" s="326" t="s">
        <v>1837</v>
      </c>
    </row>
    <row r="676" spans="1:8" ht="15" customHeight="1" x14ac:dyDescent="0.4">
      <c r="A676" s="107"/>
      <c r="B676" s="131">
        <f t="shared" si="21"/>
        <v>166</v>
      </c>
      <c r="C676" s="129" t="str">
        <f t="shared" si="20"/>
        <v>Installations à redresseur de courant &lt; 50 kW</v>
      </c>
      <c r="D676" s="107"/>
      <c r="E676" s="318"/>
      <c r="F676" s="313" t="s">
        <v>1838</v>
      </c>
      <c r="G676" s="319" t="s">
        <v>1839</v>
      </c>
      <c r="H676" s="326" t="s">
        <v>1840</v>
      </c>
    </row>
    <row r="677" spans="1:8" ht="15" customHeight="1" x14ac:dyDescent="0.4">
      <c r="A677" s="107"/>
      <c r="B677" s="131">
        <f t="shared" si="21"/>
        <v>167</v>
      </c>
      <c r="C677" s="129" t="str">
        <f t="shared" si="20"/>
        <v>Installations ORC pour autoproduction de courant</v>
      </c>
      <c r="D677" s="107"/>
      <c r="E677" s="318"/>
      <c r="F677" s="313" t="s">
        <v>1653</v>
      </c>
      <c r="G677" s="319" t="s">
        <v>1686</v>
      </c>
      <c r="H677" s="326" t="s">
        <v>1733</v>
      </c>
    </row>
    <row r="678" spans="1:8" ht="15" customHeight="1" x14ac:dyDescent="0.4">
      <c r="A678" s="107"/>
      <c r="B678" s="131">
        <f t="shared" si="21"/>
        <v>168</v>
      </c>
      <c r="C678" s="129" t="str">
        <f t="shared" si="20"/>
        <v>Installations à expansion de gaz pour autoproduction de courant</v>
      </c>
      <c r="D678" s="107"/>
      <c r="E678" s="318"/>
      <c r="F678" s="313" t="s">
        <v>1654</v>
      </c>
      <c r="G678" s="319" t="s">
        <v>1687</v>
      </c>
      <c r="H678" s="326" t="s">
        <v>1734</v>
      </c>
    </row>
    <row r="679" spans="1:8" ht="15" customHeight="1" x14ac:dyDescent="0.4">
      <c r="A679" s="107"/>
      <c r="B679" s="131">
        <f t="shared" si="21"/>
        <v>169</v>
      </c>
      <c r="C679" s="129" t="str">
        <f t="shared" si="20"/>
        <v>Transformateurs</v>
      </c>
      <c r="D679" s="107"/>
      <c r="E679" s="318"/>
      <c r="F679" s="313" t="s">
        <v>1655</v>
      </c>
      <c r="G679" s="319" t="s">
        <v>1688</v>
      </c>
      <c r="H679" s="326" t="s">
        <v>1735</v>
      </c>
    </row>
    <row r="680" spans="1:8" ht="15" customHeight="1" x14ac:dyDescent="0.4">
      <c r="A680" s="107"/>
      <c r="B680" s="131">
        <f t="shared" si="21"/>
        <v>170</v>
      </c>
      <c r="C680" s="129" t="str">
        <f t="shared" si="20"/>
        <v>Eclairage d'intérieur (halles)</v>
      </c>
      <c r="D680" s="107"/>
      <c r="E680" s="318"/>
      <c r="F680" s="313" t="s">
        <v>1656</v>
      </c>
      <c r="G680" s="319" t="s">
        <v>1689</v>
      </c>
      <c r="H680" s="326" t="s">
        <v>1736</v>
      </c>
    </row>
    <row r="681" spans="1:8" ht="15" customHeight="1" x14ac:dyDescent="0.4">
      <c r="A681" s="107"/>
      <c r="B681" s="131">
        <f t="shared" si="21"/>
        <v>171</v>
      </c>
      <c r="C681" s="129" t="str">
        <f t="shared" si="20"/>
        <v>Eclairage d'intérieur (bureaux)</v>
      </c>
      <c r="D681" s="107"/>
      <c r="E681" s="318"/>
      <c r="F681" s="313" t="s">
        <v>1657</v>
      </c>
      <c r="G681" s="319" t="s">
        <v>1690</v>
      </c>
      <c r="H681" s="326" t="s">
        <v>1737</v>
      </c>
    </row>
    <row r="682" spans="1:8" ht="15" customHeight="1" x14ac:dyDescent="0.4">
      <c r="A682" s="107"/>
      <c r="B682" s="131">
        <f t="shared" si="21"/>
        <v>172</v>
      </c>
      <c r="C682" s="129" t="str">
        <f t="shared" si="20"/>
        <v>Eclairage d'intérieur (locaux de vente)</v>
      </c>
      <c r="D682" s="107"/>
      <c r="E682" s="318"/>
      <c r="F682" s="313" t="s">
        <v>1658</v>
      </c>
      <c r="G682" s="319" t="s">
        <v>1691</v>
      </c>
      <c r="H682" s="326" t="s">
        <v>1738</v>
      </c>
    </row>
    <row r="683" spans="1:8" ht="15" customHeight="1" x14ac:dyDescent="0.4">
      <c r="A683" s="107"/>
      <c r="B683" s="131">
        <f t="shared" si="21"/>
        <v>173</v>
      </c>
      <c r="C683" s="129" t="str">
        <f t="shared" si="20"/>
        <v>Eclairage d'intérieur (autres)</v>
      </c>
      <c r="D683" s="107"/>
      <c r="E683" s="318"/>
      <c r="F683" s="313" t="s">
        <v>1659</v>
      </c>
      <c r="G683" s="319" t="s">
        <v>1692</v>
      </c>
      <c r="H683" s="326" t="s">
        <v>1739</v>
      </c>
    </row>
    <row r="684" spans="1:8" ht="15" customHeight="1" x14ac:dyDescent="0.4">
      <c r="A684" s="107"/>
      <c r="B684" s="131">
        <f t="shared" si="21"/>
        <v>174</v>
      </c>
      <c r="C684" s="129" t="str">
        <f t="shared" si="20"/>
        <v>Eclairage d'intérieur (bâtiments résidentiels)</v>
      </c>
      <c r="D684" s="107"/>
      <c r="E684" s="318"/>
      <c r="F684" s="313" t="s">
        <v>1660</v>
      </c>
      <c r="G684" s="319" t="s">
        <v>1693</v>
      </c>
      <c r="H684" s="326" t="s">
        <v>1740</v>
      </c>
    </row>
    <row r="685" spans="1:8" ht="15" customHeight="1" x14ac:dyDescent="0.4">
      <c r="A685" s="107"/>
      <c r="B685" s="131">
        <f t="shared" si="21"/>
        <v>175</v>
      </c>
      <c r="C685" s="129" t="str">
        <f t="shared" si="20"/>
        <v>Eclairage extérieur (routes et surfaces de circulation)</v>
      </c>
      <c r="D685" s="107"/>
      <c r="E685" s="318"/>
      <c r="F685" s="313" t="s">
        <v>1661</v>
      </c>
      <c r="G685" s="319" t="s">
        <v>1694</v>
      </c>
      <c r="H685" s="326" t="s">
        <v>1741</v>
      </c>
    </row>
    <row r="686" spans="1:8" ht="15" customHeight="1" x14ac:dyDescent="0.4">
      <c r="A686" s="107"/>
      <c r="B686" s="131">
        <f t="shared" si="21"/>
        <v>176</v>
      </c>
      <c r="C686" s="129" t="str">
        <f t="shared" si="20"/>
        <v>Eclairage extérieur (tunnels)</v>
      </c>
      <c r="D686" s="107"/>
      <c r="E686" s="318"/>
      <c r="F686" s="313" t="s">
        <v>1662</v>
      </c>
      <c r="G686" s="319" t="s">
        <v>1695</v>
      </c>
      <c r="H686" s="326" t="s">
        <v>1742</v>
      </c>
    </row>
    <row r="687" spans="1:8" ht="15" customHeight="1" x14ac:dyDescent="0.4">
      <c r="A687" s="107"/>
      <c r="B687" s="131">
        <f t="shared" si="21"/>
        <v>177</v>
      </c>
      <c r="C687" s="129" t="str">
        <f t="shared" si="20"/>
        <v>Eclairage extérieur (bâtiments)</v>
      </c>
      <c r="D687" s="107"/>
      <c r="E687" s="318"/>
      <c r="F687" s="313" t="s">
        <v>1705</v>
      </c>
      <c r="G687" s="319" t="s">
        <v>1696</v>
      </c>
      <c r="H687" s="326" t="s">
        <v>1806</v>
      </c>
    </row>
    <row r="688" spans="1:8" ht="15" customHeight="1" x14ac:dyDescent="0.4">
      <c r="A688" s="107"/>
      <c r="B688" s="131">
        <f t="shared" si="21"/>
        <v>178</v>
      </c>
      <c r="C688" s="129" t="str">
        <f t="shared" si="20"/>
        <v>Autres technologies</v>
      </c>
      <c r="D688" s="107"/>
      <c r="E688" s="318"/>
      <c r="F688" s="313" t="s">
        <v>1663</v>
      </c>
      <c r="G688" s="319" t="s">
        <v>1697</v>
      </c>
      <c r="H688" s="326" t="s">
        <v>1744</v>
      </c>
    </row>
    <row r="689" spans="1:8" ht="15" customHeight="1" x14ac:dyDescent="0.4">
      <c r="A689" s="133"/>
      <c r="B689" s="131">
        <f t="shared" si="21"/>
        <v>179</v>
      </c>
      <c r="C689" s="129" t="str">
        <f t="shared" si="20"/>
        <v>Coûts liés à la mise en œuvre des mesures 1 à 8 (obligation de les décrire dans le concept du programme au chapitre 2 Mesures). Les mesures doivent être identifiées par équipement/installation.</v>
      </c>
      <c r="D689" s="107"/>
      <c r="E689" s="318"/>
      <c r="F689" s="135" t="s">
        <v>1909</v>
      </c>
      <c r="G689" s="319" t="s">
        <v>1910</v>
      </c>
      <c r="H689" s="320" t="s">
        <v>1911</v>
      </c>
    </row>
    <row r="690" spans="1:8" ht="15" customHeight="1" x14ac:dyDescent="0.4">
      <c r="A690" s="133"/>
      <c r="B690" s="131">
        <f t="shared" si="21"/>
        <v>180</v>
      </c>
      <c r="C690" s="129" t="str">
        <f t="shared" si="20"/>
        <v xml:space="preserve">
La contribution de soutien ProKilowatt peut atteindre au maximum 30 % de l'investissement total (voir les conditions pour la soumission des programmes en 2019 chap. 2.2.1 Pg-1f).
Une contribution financière maximum de CHF 45 000 par client final peut être accordée.
Les coûts d’investissement par mesure soumise ne peuvent pas dépasser CHF 150 000.</v>
      </c>
      <c r="D690" s="107"/>
      <c r="E690" s="318"/>
      <c r="F690" s="372" t="s">
        <v>1942</v>
      </c>
      <c r="G690" s="373" t="s">
        <v>1943</v>
      </c>
      <c r="H690" s="374" t="s">
        <v>1944</v>
      </c>
    </row>
    <row r="691" spans="1:8" ht="15" customHeight="1" x14ac:dyDescent="0.4">
      <c r="B691" s="131">
        <f t="shared" si="21"/>
        <v>181</v>
      </c>
      <c r="C691" s="129" t="str">
        <f t="shared" ref="C691:C693" si="22">IF($B$1="f",F691,IF($B$1="d",G691,H691))</f>
        <v>La cellule R36 doit dépasser 70% du montant de la contribution ProKilowatt demandée (voir les conditions pour la soumission des projets et programmes en 2019, chapitre 2.2.1 Pg-1f).</v>
      </c>
      <c r="D691" s="107"/>
      <c r="E691" s="318"/>
      <c r="F691" s="310" t="s">
        <v>1948</v>
      </c>
      <c r="G691" s="319" t="s">
        <v>1949</v>
      </c>
      <c r="H691" s="327" t="s">
        <v>1950</v>
      </c>
    </row>
    <row r="692" spans="1:8" ht="15" customHeight="1" x14ac:dyDescent="0.4">
      <c r="B692" s="131">
        <f t="shared" si="21"/>
        <v>182</v>
      </c>
      <c r="C692" s="129" t="str">
        <f t="shared" si="22"/>
        <v>La cellule R36 doit dépasser 70% du montant de la contribution ProKilowatt demandée (voir les conditions pour la soumission des projets et programmes en 2019, chapitre 2.2.1 Pg-1f).</v>
      </c>
      <c r="D692" s="107"/>
      <c r="E692" s="318"/>
      <c r="F692" s="310" t="s">
        <v>1948</v>
      </c>
      <c r="G692" s="319" t="s">
        <v>1949</v>
      </c>
      <c r="H692" s="327" t="s">
        <v>1950</v>
      </c>
    </row>
    <row r="693" spans="1:8" ht="15" customHeight="1" x14ac:dyDescent="0.4">
      <c r="B693" s="131">
        <f t="shared" si="21"/>
        <v>183</v>
      </c>
      <c r="C693" s="129" t="str">
        <f t="shared" si="22"/>
        <v>IT-Hardware</v>
      </c>
      <c r="F693" s="310" t="s">
        <v>1899</v>
      </c>
      <c r="G693" s="319" t="s">
        <v>1899</v>
      </c>
      <c r="H693" s="327" t="s">
        <v>1900</v>
      </c>
    </row>
    <row r="694" spans="1:8" ht="15" customHeight="1" x14ac:dyDescent="0.4">
      <c r="B694" s="131">
        <f t="shared" si="21"/>
        <v>184</v>
      </c>
      <c r="C694" s="129" t="str">
        <f t="shared" ref="C694" si="23">IF($B$1="f",F694,IF($B$1="d",G694,H694))</f>
        <v>Transformateurs</v>
      </c>
      <c r="F694" s="310" t="s">
        <v>1655</v>
      </c>
      <c r="G694" s="319" t="s">
        <v>1688</v>
      </c>
      <c r="H694" s="327" t="s">
        <v>1735</v>
      </c>
    </row>
    <row r="695" spans="1:8" ht="15" customHeight="1" x14ac:dyDescent="0.4">
      <c r="B695" s="131">
        <f t="shared" si="21"/>
        <v>185</v>
      </c>
      <c r="C695" s="129" t="str">
        <f t="shared" ref="C695:C696" si="24">IF($B$1="f",F695,IF($B$1="d",G695,H695))</f>
        <v>Réfrigérateurs et congélateurs commerciaux</v>
      </c>
      <c r="F695" s="310" t="s">
        <v>1903</v>
      </c>
      <c r="G695" s="319" t="s">
        <v>1904</v>
      </c>
      <c r="H695" s="327" t="s">
        <v>1905</v>
      </c>
    </row>
    <row r="696" spans="1:8" ht="15" customHeight="1" x14ac:dyDescent="0.4">
      <c r="A696" s="107"/>
      <c r="B696" s="131">
        <f t="shared" si="21"/>
        <v>186</v>
      </c>
      <c r="C696" s="129" t="str">
        <f t="shared" si="24"/>
        <v>Services</v>
      </c>
      <c r="D696" s="107"/>
      <c r="E696" s="318"/>
      <c r="F696" s="313" t="s">
        <v>1931</v>
      </c>
      <c r="G696" s="319" t="s">
        <v>1932</v>
      </c>
      <c r="H696" s="326" t="s">
        <v>1933</v>
      </c>
    </row>
    <row r="697" spans="1:8" ht="15" customHeight="1" x14ac:dyDescent="0.4">
      <c r="A697" s="107"/>
      <c r="B697" s="131">
        <f t="shared" si="21"/>
        <v>187</v>
      </c>
      <c r="C697" s="129" t="str">
        <f t="shared" ref="C697" si="25">IF($B$1="f",F697,IF($B$1="d",G697,H697))</f>
        <v>Eclairage extérieur (terrain de sport et stade)</v>
      </c>
      <c r="D697" s="107"/>
      <c r="E697" s="318"/>
      <c r="F697" s="313" t="s">
        <v>1934</v>
      </c>
      <c r="G697" s="319" t="s">
        <v>1694</v>
      </c>
      <c r="H697" s="326" t="s">
        <v>1741</v>
      </c>
    </row>
    <row r="698" spans="1:8" ht="15" customHeight="1" x14ac:dyDescent="0.4">
      <c r="A698" s="107"/>
      <c r="B698" s="131">
        <f t="shared" si="21"/>
        <v>188</v>
      </c>
      <c r="C698" s="129" t="str">
        <f t="shared" ref="C698" si="26">IF($B$1="f",F698,IF($B$1="d",G698,H698))</f>
        <v>Câbles électriques</v>
      </c>
      <c r="D698" s="107"/>
      <c r="E698" s="318"/>
      <c r="F698" s="313" t="s">
        <v>1935</v>
      </c>
      <c r="G698" s="319" t="s">
        <v>1936</v>
      </c>
      <c r="H698" s="326" t="s">
        <v>1937</v>
      </c>
    </row>
    <row r="699" spans="1:8" ht="15" customHeight="1" x14ac:dyDescent="0.4">
      <c r="A699" s="107"/>
      <c r="B699" s="131">
        <f t="shared" si="21"/>
        <v>189</v>
      </c>
      <c r="C699" s="129" t="str">
        <f t="shared" ref="C699" si="27">IF($B$1="f",F699,IF($B$1="d",G699,H699))</f>
        <v>Contrôle rapport coût/utilité &lt; 8cts/kWh</v>
      </c>
      <c r="D699" s="107"/>
      <c r="E699" s="318"/>
      <c r="F699" s="313" t="s">
        <v>1938</v>
      </c>
      <c r="G699" s="319" t="s">
        <v>1939</v>
      </c>
      <c r="H699" s="326" t="s">
        <v>1940</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4">
    <pageSetUpPr fitToPage="1"/>
  </sheetPr>
  <dimension ref="A1:E41"/>
  <sheetViews>
    <sheetView workbookViewId="0">
      <selection activeCell="E25" sqref="E25"/>
    </sheetView>
  </sheetViews>
  <sheetFormatPr baseColWidth="10" defaultColWidth="11.3828125" defaultRowHeight="12.45" x14ac:dyDescent="0.3"/>
  <cols>
    <col min="1" max="1" width="3.53515625" style="9" customWidth="1"/>
    <col min="2" max="5" width="20.69140625" style="9" customWidth="1"/>
    <col min="6" max="6" width="5.53515625" style="9" customWidth="1"/>
    <col min="7" max="7" width="63.3046875" style="9" customWidth="1"/>
    <col min="8" max="16384" width="11.3828125" style="9"/>
  </cols>
  <sheetData>
    <row r="1" spans="1:5" ht="12.75" customHeight="1" x14ac:dyDescent="0.3">
      <c r="A1" s="5"/>
      <c r="B1" s="43"/>
      <c r="C1" s="44"/>
      <c r="D1" s="44"/>
      <c r="E1" s="45"/>
    </row>
    <row r="2" spans="1:5" ht="12.75" customHeight="1" x14ac:dyDescent="0.3">
      <c r="A2" s="5"/>
      <c r="B2" s="46"/>
      <c r="C2" s="5"/>
      <c r="D2" s="12" t="str">
        <f>Langues1!C102</f>
        <v>Numéro du programme</v>
      </c>
      <c r="E2" s="47"/>
    </row>
    <row r="3" spans="1:5" ht="12.75" customHeight="1" x14ac:dyDescent="0.3">
      <c r="A3" s="5"/>
      <c r="B3" s="46"/>
      <c r="C3" s="5"/>
      <c r="D3" s="432" t="s">
        <v>1921</v>
      </c>
      <c r="E3" s="433"/>
    </row>
    <row r="4" spans="1:5" ht="12.75" customHeight="1" x14ac:dyDescent="0.3">
      <c r="A4" s="5"/>
      <c r="B4" s="46"/>
      <c r="C4" s="5"/>
      <c r="D4" s="434"/>
      <c r="E4" s="435"/>
    </row>
    <row r="5" spans="1:5" ht="12.75" customHeight="1" x14ac:dyDescent="0.3">
      <c r="A5" s="5"/>
      <c r="B5" s="48"/>
      <c r="C5" s="49"/>
      <c r="D5" s="49"/>
      <c r="E5" s="50"/>
    </row>
    <row r="6" spans="1:5" ht="12.75" customHeight="1" x14ac:dyDescent="0.3"/>
    <row r="7" spans="1:5" ht="60" customHeight="1" x14ac:dyDescent="0.3">
      <c r="B7" s="437" t="str">
        <f>Menu!B10</f>
        <v>Appels d'offres publics 2019
Formulaire de demande pour programme</v>
      </c>
      <c r="C7" s="437"/>
      <c r="D7" s="437"/>
      <c r="E7" s="437"/>
    </row>
    <row r="8" spans="1:5" ht="12.75" customHeight="1" x14ac:dyDescent="0.3">
      <c r="B8" s="41"/>
      <c r="C8" s="41"/>
      <c r="D8" s="41"/>
      <c r="E8" s="41"/>
    </row>
    <row r="9" spans="1:5" ht="12.75" customHeight="1" x14ac:dyDescent="0.3">
      <c r="B9" s="41"/>
      <c r="C9" s="41"/>
      <c r="D9" s="41"/>
      <c r="E9" s="41"/>
    </row>
    <row r="10" spans="1:5" ht="19.75" x14ac:dyDescent="0.3">
      <c r="B10" s="427">
        <f>'1'!C8</f>
        <v>0</v>
      </c>
      <c r="C10" s="427"/>
      <c r="D10" s="427"/>
      <c r="E10" s="427"/>
    </row>
    <row r="11" spans="1:5" ht="12.75" customHeight="1" x14ac:dyDescent="0.3">
      <c r="B11" s="41"/>
      <c r="C11" s="41"/>
      <c r="D11" s="41"/>
      <c r="E11" s="41"/>
    </row>
    <row r="12" spans="1:5" ht="48" customHeight="1" x14ac:dyDescent="0.3">
      <c r="B12" s="431">
        <f>'1'!C7</f>
        <v>0</v>
      </c>
      <c r="C12" s="431"/>
      <c r="D12" s="431"/>
      <c r="E12" s="431"/>
    </row>
    <row r="13" spans="1:5" ht="12.75" customHeight="1" x14ac:dyDescent="0.3">
      <c r="B13" s="41"/>
      <c r="C13" s="41"/>
      <c r="D13" s="41"/>
      <c r="E13" s="41"/>
    </row>
    <row r="14" spans="1:5" ht="12.75" customHeight="1" x14ac:dyDescent="0.3">
      <c r="B14" s="41"/>
      <c r="C14" s="41"/>
      <c r="D14" s="41"/>
      <c r="E14" s="41"/>
    </row>
    <row r="15" spans="1:5" ht="12.75" customHeight="1" x14ac:dyDescent="0.3">
      <c r="B15" s="41"/>
      <c r="C15" s="41"/>
      <c r="D15" s="41"/>
      <c r="E15" s="41"/>
    </row>
    <row r="16" spans="1:5" ht="19.75" x14ac:dyDescent="0.3">
      <c r="B16" s="427">
        <f>'2'!C7</f>
        <v>0</v>
      </c>
      <c r="C16" s="427"/>
      <c r="D16" s="427"/>
      <c r="E16" s="427"/>
    </row>
    <row r="17" spans="1:5" ht="19.75" x14ac:dyDescent="0.3">
      <c r="B17" s="438">
        <f>'2'!E12</f>
        <v>0</v>
      </c>
      <c r="C17" s="427"/>
      <c r="D17" s="427"/>
      <c r="E17" s="427"/>
    </row>
    <row r="18" spans="1:5" ht="12.75" customHeight="1" x14ac:dyDescent="0.3">
      <c r="B18" s="41"/>
      <c r="C18" s="41"/>
      <c r="D18" s="41"/>
      <c r="E18" s="41"/>
    </row>
    <row r="19" spans="1:5" ht="12.75" customHeight="1" x14ac:dyDescent="0.3">
      <c r="B19" s="436" t="str">
        <f>Langues1!C103</f>
        <v>Contrôle du remplissage du formulaire</v>
      </c>
      <c r="C19" s="436"/>
      <c r="D19" s="436"/>
      <c r="E19" s="436"/>
    </row>
    <row r="20" spans="1:5" ht="15" customHeight="1" x14ac:dyDescent="0.3">
      <c r="A20" s="83">
        <f>Menu!B15</f>
        <v>1</v>
      </c>
      <c r="B20" s="428" t="str">
        <f>Menu!C15</f>
        <v>Brève description du programme</v>
      </c>
      <c r="C20" s="429"/>
      <c r="D20" s="430"/>
      <c r="E20" s="1">
        <f>Menu!E15</f>
        <v>5</v>
      </c>
    </row>
    <row r="21" spans="1:5" ht="15" customHeight="1" x14ac:dyDescent="0.3">
      <c r="A21" s="83">
        <f>Menu!B16</f>
        <v>2</v>
      </c>
      <c r="B21" s="428" t="str">
        <f>Menu!C16</f>
        <v>Organisme porteur / Organisation</v>
      </c>
      <c r="C21" s="429"/>
      <c r="D21" s="430"/>
      <c r="E21" s="1">
        <f>Menu!E16</f>
        <v>18</v>
      </c>
    </row>
    <row r="22" spans="1:5" ht="15" customHeight="1" x14ac:dyDescent="0.3">
      <c r="A22" s="83">
        <f>Menu!B17</f>
        <v>3</v>
      </c>
      <c r="B22" s="428" t="str">
        <f>Menu!C17</f>
        <v>Budget / Financement (quantification)</v>
      </c>
      <c r="C22" s="429"/>
      <c r="D22" s="430"/>
      <c r="E22" s="70">
        <f>Menu!E17</f>
        <v>8</v>
      </c>
    </row>
    <row r="23" spans="1:5" ht="15" customHeight="1" x14ac:dyDescent="0.3">
      <c r="A23" s="83">
        <f>Menu!B18</f>
        <v>4</v>
      </c>
      <c r="B23" s="219" t="str">
        <f>Menu!C18</f>
        <v>Analyse des effets / économies</v>
      </c>
      <c r="C23" s="220"/>
      <c r="D23" s="221"/>
      <c r="E23" s="70">
        <f>Menu!E18</f>
        <v>0</v>
      </c>
    </row>
    <row r="24" spans="1:5" ht="15" customHeight="1" x14ac:dyDescent="0.3">
      <c r="A24" s="83">
        <f>Menu!B19</f>
        <v>5</v>
      </c>
      <c r="B24" s="428" t="str">
        <f>Menu!C19</f>
        <v>Acceptation et remarques</v>
      </c>
      <c r="C24" s="429"/>
      <c r="D24" s="430"/>
      <c r="E24" s="70">
        <f>Menu!E19</f>
        <v>2</v>
      </c>
    </row>
    <row r="25" spans="1:5" ht="12.75" customHeight="1" x14ac:dyDescent="0.3">
      <c r="A25" s="83">
        <v>6</v>
      </c>
      <c r="B25" s="428" t="str">
        <f>Langues1!C699</f>
        <v>Contrôle rapport coût/utilité &lt; 8cts/kWh</v>
      </c>
      <c r="C25" s="429"/>
      <c r="D25" s="430"/>
      <c r="E25" s="70">
        <f>Ctrl!B23</f>
        <v>0</v>
      </c>
    </row>
    <row r="26" spans="1:5" ht="12.75" customHeight="1" x14ac:dyDescent="0.3">
      <c r="B26" s="77"/>
      <c r="C26" s="77"/>
      <c r="D26" s="77"/>
      <c r="E26" s="5"/>
    </row>
    <row r="27" spans="1:5" ht="12.75" customHeight="1" x14ac:dyDescent="0.3">
      <c r="B27" s="444" t="str">
        <f>Menu!C41</f>
        <v>Version 7.0</v>
      </c>
      <c r="C27" s="444"/>
      <c r="D27" s="77"/>
      <c r="E27" s="5"/>
    </row>
    <row r="28" spans="1:5" ht="12.75" customHeight="1" x14ac:dyDescent="0.3">
      <c r="B28" s="77"/>
      <c r="C28" s="77"/>
      <c r="D28" s="77"/>
      <c r="E28" s="5"/>
    </row>
    <row r="29" spans="1:5" ht="12.75" customHeight="1" x14ac:dyDescent="0.3">
      <c r="B29" s="11" t="str">
        <f>Langues1!C104</f>
        <v>Personne de contact</v>
      </c>
    </row>
    <row r="30" spans="1:5" ht="15" customHeight="1" x14ac:dyDescent="0.3">
      <c r="B30" s="2" t="str">
        <f>'2'!B18</f>
        <v>Nom de l'organisation</v>
      </c>
      <c r="C30" s="443">
        <f>'2'!C18</f>
        <v>0</v>
      </c>
      <c r="D30" s="443"/>
      <c r="E30" s="443"/>
    </row>
    <row r="31" spans="1:5" ht="15" customHeight="1" x14ac:dyDescent="0.3">
      <c r="B31" s="65" t="str">
        <f>'2'!B11</f>
        <v>Adresse</v>
      </c>
      <c r="C31" s="445">
        <f>'2'!C11:E11</f>
        <v>0</v>
      </c>
      <c r="D31" s="446"/>
      <c r="E31" s="447"/>
    </row>
    <row r="32" spans="1:5" ht="15" customHeight="1" x14ac:dyDescent="0.3">
      <c r="B32" s="65" t="str">
        <f>'2'!B12</f>
        <v>NPA</v>
      </c>
      <c r="C32" s="65">
        <f>'2'!C12</f>
        <v>0</v>
      </c>
      <c r="D32" s="65" t="str">
        <f>'2'!D12</f>
        <v>Lieu</v>
      </c>
      <c r="E32" s="65">
        <f>'2'!E12</f>
        <v>0</v>
      </c>
    </row>
    <row r="33" spans="2:5" ht="15" customHeight="1" x14ac:dyDescent="0.3">
      <c r="B33" s="65" t="str">
        <f>'2'!B19</f>
        <v>Nom</v>
      </c>
      <c r="C33" s="65">
        <f>'2'!C19</f>
        <v>0</v>
      </c>
      <c r="D33" s="65" t="str">
        <f>'2'!D19</f>
        <v>Prénom</v>
      </c>
      <c r="E33" s="65">
        <f>'2'!E19</f>
        <v>0</v>
      </c>
    </row>
    <row r="34" spans="2:5" ht="15" customHeight="1" x14ac:dyDescent="0.3">
      <c r="B34" s="65" t="str">
        <f>'2'!B20</f>
        <v>Fonction</v>
      </c>
      <c r="C34" s="439">
        <f>'2'!C20</f>
        <v>0</v>
      </c>
      <c r="D34" s="439"/>
      <c r="E34" s="439"/>
    </row>
    <row r="35" spans="2:5" ht="15" customHeight="1" x14ac:dyDescent="0.3">
      <c r="B35" s="65" t="str">
        <f>'2'!B21</f>
        <v>Téléphone</v>
      </c>
      <c r="C35" s="65">
        <f>'2'!C21</f>
        <v>0</v>
      </c>
      <c r="D35" s="65" t="str">
        <f>'2'!D21</f>
        <v>Téléphone mobile</v>
      </c>
      <c r="E35" s="65">
        <f>'2'!E21</f>
        <v>0</v>
      </c>
    </row>
    <row r="36" spans="2:5" ht="15" customHeight="1" x14ac:dyDescent="0.3">
      <c r="B36" s="65" t="str">
        <f>'2'!B22</f>
        <v>E-mail</v>
      </c>
      <c r="C36" s="440">
        <f>'2'!C22</f>
        <v>0</v>
      </c>
      <c r="D36" s="441"/>
      <c r="E36" s="442"/>
    </row>
    <row r="39" spans="2:5" x14ac:dyDescent="0.3">
      <c r="B39" s="11" t="s">
        <v>613</v>
      </c>
      <c r="D39" s="436" t="str">
        <f>Langues1!C8</f>
        <v>Bureau pour les appels d'offres</v>
      </c>
      <c r="E39" s="426"/>
    </row>
    <row r="40" spans="2:5" x14ac:dyDescent="0.3">
      <c r="B40" s="436" t="s">
        <v>898</v>
      </c>
      <c r="C40" s="436"/>
      <c r="D40" s="436" t="str">
        <f>Langues1!C9</f>
        <v>publics dans le domaine de l'efficacité électrique</v>
      </c>
      <c r="E40" s="426"/>
    </row>
    <row r="41" spans="2:5" x14ac:dyDescent="0.3">
      <c r="B41" s="11" t="s">
        <v>899</v>
      </c>
      <c r="D41" s="436" t="str">
        <f>Langues1!C56</f>
        <v>Mandaté par l'Office fédéral de l'énergie OFEN</v>
      </c>
      <c r="E41" s="436"/>
    </row>
  </sheetData>
  <sheetProtection algorithmName="SHA-512" hashValue="ZOLBGijjWk6M57Xxz5OCCmz24TjwEr8f++mpy+dJfp/WonRyo3rmSq8K2yUQVVqSfDEtTrnbUMvk2Eqjadrguw==" saltValue="TTkLBfFwHIqW0I89VQGaGw==" spinCount="100000" sheet="1" objects="1" scenarios="1"/>
  <mergeCells count="21">
    <mergeCell ref="D41:E41"/>
    <mergeCell ref="C34:E34"/>
    <mergeCell ref="C36:E36"/>
    <mergeCell ref="B22:D22"/>
    <mergeCell ref="B20:D20"/>
    <mergeCell ref="C30:E30"/>
    <mergeCell ref="D40:E40"/>
    <mergeCell ref="B40:C40"/>
    <mergeCell ref="B27:C27"/>
    <mergeCell ref="D39:E39"/>
    <mergeCell ref="C31:E31"/>
    <mergeCell ref="B25:D25"/>
    <mergeCell ref="B10:E10"/>
    <mergeCell ref="B24:D24"/>
    <mergeCell ref="B21:D21"/>
    <mergeCell ref="B12:E12"/>
    <mergeCell ref="D3:E4"/>
    <mergeCell ref="B19:E19"/>
    <mergeCell ref="B7:E7"/>
    <mergeCell ref="B17:E17"/>
    <mergeCell ref="B16:E16"/>
  </mergeCells>
  <phoneticPr fontId="21" type="noConversion"/>
  <conditionalFormatting sqref="E20:E24">
    <cfRule type="cellIs" dxfId="92" priority="3" stopIfTrue="1" operator="notEqual">
      <formula>0</formula>
    </cfRule>
    <cfRule type="cellIs" dxfId="91" priority="4" stopIfTrue="1" operator="equal">
      <formula>0</formula>
    </cfRule>
  </conditionalFormatting>
  <conditionalFormatting sqref="E25">
    <cfRule type="cellIs" dxfId="90" priority="1" stopIfTrue="1" operator="notEqual">
      <formula>0</formula>
    </cfRule>
    <cfRule type="cellIs" dxfId="89" priority="2" stopIfTrue="1" operator="equal">
      <formula>0</formula>
    </cfRule>
  </conditionalFormatting>
  <pageMargins left="0.78740157480314965" right="0.59055118110236227" top="0.74803149606299213" bottom="0.74803149606299213" header="0.31496062992125984" footer="0.31496062992125984"/>
  <pageSetup paperSize="9" scale="9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4">
    <pageSetUpPr fitToPage="1"/>
  </sheetPr>
  <dimension ref="A1:J48"/>
  <sheetViews>
    <sheetView zoomScaleNormal="100" workbookViewId="0">
      <pane ySplit="4" topLeftCell="A5" activePane="bottomLeft" state="frozen"/>
      <selection activeCell="D27" sqref="D27:D32"/>
      <selection pane="bottomLeft" activeCell="H28" sqref="H28"/>
    </sheetView>
  </sheetViews>
  <sheetFormatPr baseColWidth="10" defaultColWidth="11.3828125" defaultRowHeight="12.45" x14ac:dyDescent="0.3"/>
  <cols>
    <col min="1" max="1" width="3.53515625" style="9" customWidth="1"/>
    <col min="2" max="2" width="38.15234375" style="9" customWidth="1"/>
    <col min="3" max="3" width="16.3828125" style="9" customWidth="1"/>
    <col min="4" max="4" width="11.3828125" style="9"/>
    <col min="5" max="5" width="16.3828125" style="9" customWidth="1"/>
    <col min="6" max="6" width="9.69140625" style="9" customWidth="1"/>
    <col min="7" max="7" width="5.53515625" style="9" customWidth="1"/>
    <col min="8" max="8" width="84.84375" style="31" bestFit="1" customWidth="1"/>
    <col min="9" max="16384" width="11.3828125" style="9"/>
  </cols>
  <sheetData>
    <row r="1" spans="1:8" ht="24.75" customHeight="1" x14ac:dyDescent="0.3">
      <c r="A1" s="468"/>
      <c r="B1" s="469"/>
      <c r="C1" s="472" t="str">
        <f>Menu!C14</f>
        <v>Chiffres-clés du programme</v>
      </c>
      <c r="D1" s="473"/>
      <c r="E1" s="473"/>
      <c r="F1" s="474"/>
      <c r="H1" s="276" t="str">
        <f>Langues1!C133</f>
        <v>Indications et explications</v>
      </c>
    </row>
    <row r="2" spans="1:8" ht="21" customHeight="1" x14ac:dyDescent="0.3">
      <c r="A2" s="470"/>
      <c r="B2" s="471"/>
      <c r="C2" s="475"/>
      <c r="D2" s="476"/>
      <c r="E2" s="476"/>
      <c r="F2" s="1"/>
      <c r="H2" s="466">
        <f>Langues1!C134</f>
        <v>0</v>
      </c>
    </row>
    <row r="3" spans="1:8" x14ac:dyDescent="0.3">
      <c r="A3" s="477" t="str">
        <f>Langues1!C149</f>
        <v>Partenaire principal</v>
      </c>
      <c r="B3" s="477"/>
      <c r="C3" s="478">
        <f>'2'!C7</f>
        <v>0</v>
      </c>
      <c r="D3" s="479"/>
      <c r="E3" s="479"/>
      <c r="F3" s="1"/>
      <c r="H3" s="467"/>
    </row>
    <row r="4" spans="1:8" x14ac:dyDescent="0.3">
      <c r="A4" s="480" t="str">
        <f>Langues1!C154</f>
        <v>Acronyme du programme</v>
      </c>
      <c r="B4" s="481"/>
      <c r="C4" s="478">
        <f>'1'!C8</f>
        <v>0</v>
      </c>
      <c r="D4" s="479"/>
      <c r="E4" s="479"/>
      <c r="F4" s="1"/>
      <c r="H4" s="467"/>
    </row>
    <row r="6" spans="1:8" x14ac:dyDescent="0.3">
      <c r="A6" s="18">
        <v>0.1</v>
      </c>
      <c r="B6" s="11" t="str">
        <f>Langues1!C108</f>
        <v>Chiffres-clés du programme</v>
      </c>
    </row>
    <row r="7" spans="1:8" ht="12.9" x14ac:dyDescent="0.3">
      <c r="A7" s="85"/>
      <c r="B7" s="452" t="str">
        <f>Langues1!C109</f>
        <v>Durée du programme</v>
      </c>
      <c r="C7" s="453"/>
      <c r="D7" s="453"/>
      <c r="E7" s="453"/>
      <c r="F7" s="454"/>
    </row>
    <row r="8" spans="1:8" x14ac:dyDescent="0.3">
      <c r="A8" s="85"/>
      <c r="B8" s="65" t="str">
        <f>Langues1!C109</f>
        <v>Durée du programme</v>
      </c>
      <c r="C8" s="7">
        <f>'1'!E15</f>
        <v>0</v>
      </c>
      <c r="D8" s="2" t="str">
        <f>Langues1!C110</f>
        <v>mois</v>
      </c>
      <c r="E8" s="1"/>
      <c r="F8" s="1"/>
    </row>
    <row r="9" spans="1:8" s="31" customFormat="1" ht="25.5" customHeight="1" x14ac:dyDescent="0.3">
      <c r="A9" s="299"/>
      <c r="B9" s="300" t="str">
        <f>Langues1!C586</f>
        <v>Type de programme</v>
      </c>
      <c r="C9" s="463" t="str">
        <f>'1'!C9</f>
        <v>Programme</v>
      </c>
      <c r="D9" s="464"/>
      <c r="E9" s="464"/>
      <c r="F9" s="465"/>
    </row>
    <row r="10" spans="1:8" ht="7.5" customHeight="1" x14ac:dyDescent="0.3">
      <c r="A10" s="5"/>
      <c r="B10" s="5"/>
      <c r="C10" s="91"/>
      <c r="D10" s="5"/>
      <c r="E10" s="92"/>
      <c r="F10" s="5"/>
    </row>
    <row r="11" spans="1:8" ht="14.6" x14ac:dyDescent="0.3">
      <c r="A11" s="1"/>
      <c r="B11" s="448" t="str">
        <f>Langues1!C111</f>
        <v>Consommation électrique sans programme</v>
      </c>
      <c r="C11" s="449"/>
      <c r="D11" s="449"/>
      <c r="E11" s="449"/>
      <c r="F11" s="451"/>
    </row>
    <row r="12" spans="1:8" ht="25.5" customHeight="1" x14ac:dyDescent="0.3">
      <c r="A12" s="1"/>
      <c r="B12" s="13" t="str">
        <f>Langues1!C112</f>
        <v>Ø Évolution en kWh/an par unité (moyenne)</v>
      </c>
      <c r="C12" s="23" t="e">
        <f>'4'!F28</f>
        <v>#DIV/0!</v>
      </c>
      <c r="D12" s="1" t="str">
        <f>Langues1!C129</f>
        <v>[kWh/an]</v>
      </c>
      <c r="E12" s="23" t="e">
        <f>'4'!F30</f>
        <v>#DIV/0!</v>
      </c>
      <c r="F12" s="1" t="str">
        <f>Langues1!C130</f>
        <v>[CHF/an]</v>
      </c>
      <c r="H12" s="31" t="str">
        <f>Langues1!C135</f>
        <v>Consommation moyenne d'électricité sans programme par an</v>
      </c>
    </row>
    <row r="13" spans="1:8" x14ac:dyDescent="0.3">
      <c r="A13" s="1"/>
      <c r="B13" s="2" t="str">
        <f>Langues1!C113</f>
        <v>Ø Tarif de l'électricité (TVA incluse)</v>
      </c>
      <c r="C13" s="24">
        <f>'4'!F7</f>
        <v>0.15</v>
      </c>
      <c r="D13" s="2" t="str">
        <f>Langues1!C130</f>
        <v>[CHF/an]</v>
      </c>
      <c r="E13" s="6"/>
      <c r="F13" s="1"/>
      <c r="H13" s="31" t="str">
        <f>Langues1!C136</f>
        <v>Tarif moyen pour le calcul de l'évolution de référence</v>
      </c>
    </row>
    <row r="14" spans="1:8" x14ac:dyDescent="0.3">
      <c r="A14" s="1"/>
      <c r="B14" s="2" t="str">
        <f>Langues1!C114</f>
        <v>Ø Durée d'utilisation</v>
      </c>
      <c r="C14" s="218">
        <f>'4'!L28</f>
        <v>0</v>
      </c>
      <c r="D14" s="1" t="str">
        <f>Langues1!C132</f>
        <v>[an(s)]</v>
      </c>
      <c r="E14" s="1"/>
      <c r="F14" s="1"/>
      <c r="H14" s="31" t="str">
        <f>Langues1!C137</f>
        <v>Durée d'utilisation des applications qui seront concernées par les mesures</v>
      </c>
    </row>
    <row r="15" spans="1:8" ht="24.9" x14ac:dyDescent="0.3">
      <c r="A15" s="1"/>
      <c r="B15" s="13" t="str">
        <f>Langues1!C115</f>
        <v>Consommation d'électricité totale sans programme</v>
      </c>
      <c r="C15" s="23">
        <f>'4'!G29</f>
        <v>0</v>
      </c>
      <c r="D15" s="2" t="str">
        <f>Langues1!C129</f>
        <v>[kWh/an]</v>
      </c>
      <c r="E15" s="23">
        <f>'4'!G30</f>
        <v>0</v>
      </c>
      <c r="F15" s="1" t="s">
        <v>597</v>
      </c>
      <c r="H15" s="31" t="str">
        <f>Langues1!C138</f>
        <v>Évolution de référence - Consommation sans programme sur toute la durée d'utilisation en kWh et en CHF</v>
      </c>
    </row>
    <row r="16" spans="1:8" ht="7.5" customHeight="1" x14ac:dyDescent="0.3">
      <c r="A16" s="5"/>
      <c r="B16" s="5"/>
      <c r="C16" s="91"/>
      <c r="D16" s="5"/>
      <c r="E16" s="92"/>
      <c r="F16" s="5"/>
    </row>
    <row r="17" spans="1:8" ht="14.6" x14ac:dyDescent="0.3">
      <c r="A17" s="1"/>
      <c r="B17" s="448" t="str">
        <f>Langues1!C116</f>
        <v>Consommation d'électricité totale avec le programme</v>
      </c>
      <c r="C17" s="449"/>
      <c r="D17" s="449"/>
      <c r="E17" s="449"/>
      <c r="F17" s="451"/>
    </row>
    <row r="18" spans="1:8" x14ac:dyDescent="0.3">
      <c r="A18" s="1"/>
      <c r="B18" s="101" t="str">
        <f>Langues1!C112</f>
        <v>Ø Évolution en kWh/an par unité (moyenne)</v>
      </c>
      <c r="C18" s="23" t="e">
        <f>'4'!H28</f>
        <v>#DIV/0!</v>
      </c>
      <c r="D18" s="1" t="str">
        <f>Langues1!C129</f>
        <v>[kWh/an]</v>
      </c>
      <c r="E18" s="23" t="e">
        <f>'4'!H30</f>
        <v>#DIV/0!</v>
      </c>
      <c r="F18" s="1" t="str">
        <f>Langues1!C130</f>
        <v>[CHF/an]</v>
      </c>
      <c r="H18" s="31" t="str">
        <f>Langues1!C139</f>
        <v>Consommation moyenne d'électricité avec le programme par an</v>
      </c>
    </row>
    <row r="19" spans="1:8" ht="24.75" customHeight="1" x14ac:dyDescent="0.3">
      <c r="A19" s="1"/>
      <c r="B19" s="101" t="str">
        <f>Langues1!C116</f>
        <v>Consommation d'électricité totale avec le programme</v>
      </c>
      <c r="C19" s="23">
        <f>'4'!I29</f>
        <v>0</v>
      </c>
      <c r="D19" s="2" t="str">
        <f>Langues1!C129</f>
        <v>[kWh/an]</v>
      </c>
      <c r="E19" s="23">
        <f>'4'!I30</f>
        <v>0</v>
      </c>
      <c r="F19" s="1" t="s">
        <v>597</v>
      </c>
      <c r="H19" s="31" t="str">
        <f>Langues1!C140</f>
        <v>Consommation d'électricité avec le programme sur toute la durée d'utilisation en kWh et en CHF</v>
      </c>
    </row>
    <row r="20" spans="1:8" ht="7.5" customHeight="1" x14ac:dyDescent="0.3">
      <c r="A20" s="5"/>
      <c r="B20" s="5"/>
      <c r="C20" s="5"/>
      <c r="D20" s="5"/>
      <c r="E20" s="92"/>
      <c r="F20" s="5"/>
    </row>
    <row r="21" spans="1:8" ht="14.6" x14ac:dyDescent="0.3">
      <c r="A21" s="1"/>
      <c r="B21" s="448" t="str">
        <f>Langues1!C117</f>
        <v>Économies d'électricité attendues</v>
      </c>
      <c r="C21" s="449"/>
      <c r="D21" s="449"/>
      <c r="E21" s="449"/>
      <c r="F21" s="451"/>
    </row>
    <row r="22" spans="1:8" x14ac:dyDescent="0.3">
      <c r="A22" s="1"/>
      <c r="B22" s="82" t="str">
        <f>Langues1!C591</f>
        <v>Ø Économie d'électricité en kWh/an</v>
      </c>
      <c r="C22" s="23">
        <f>'4'!M29</f>
        <v>0</v>
      </c>
      <c r="D22" s="1" t="str">
        <f>Langues1!C129</f>
        <v>[kWh/an]</v>
      </c>
      <c r="E22" s="23">
        <f>'4'!M30</f>
        <v>0</v>
      </c>
      <c r="F22" s="1" t="str">
        <f>Langues1!C130</f>
        <v>[CHF/an]</v>
      </c>
      <c r="H22" s="31" t="str">
        <f>Langues1!C141</f>
        <v>Économies moyennes d'électricité par an</v>
      </c>
    </row>
    <row r="23" spans="1:8" x14ac:dyDescent="0.3">
      <c r="A23" s="1"/>
      <c r="B23" s="13" t="str">
        <f>Langues1!C120</f>
        <v>Économies d'électricité cumulée imputable</v>
      </c>
      <c r="C23" s="23">
        <f>'4'!P29</f>
        <v>0</v>
      </c>
      <c r="D23" s="1" t="s">
        <v>596</v>
      </c>
      <c r="E23" s="23">
        <f>'4'!P30</f>
        <v>0</v>
      </c>
      <c r="F23" s="1" t="s">
        <v>597</v>
      </c>
      <c r="H23" s="31" t="str">
        <f>Langues1!C142</f>
        <v>Économies d'électricité attendues du programme sur toute la durée d'utilisation en kWh et en CHF</v>
      </c>
    </row>
    <row r="24" spans="1:8" ht="7.5" customHeight="1" x14ac:dyDescent="0.3">
      <c r="A24" s="5"/>
      <c r="B24" s="12"/>
      <c r="C24" s="93"/>
      <c r="D24" s="3"/>
      <c r="E24" s="93"/>
      <c r="F24" s="5"/>
      <c r="H24" s="33"/>
    </row>
    <row r="25" spans="1:8" ht="14.6" x14ac:dyDescent="0.3">
      <c r="A25" s="1"/>
      <c r="B25" s="222" t="str">
        <f>Langues1!C121</f>
        <v>Coûts du programme</v>
      </c>
      <c r="C25" s="223" t="s">
        <v>536</v>
      </c>
      <c r="D25" s="223"/>
      <c r="E25" s="225" t="s">
        <v>613</v>
      </c>
      <c r="F25" s="224"/>
    </row>
    <row r="26" spans="1:8" x14ac:dyDescent="0.3">
      <c r="A26" s="1"/>
      <c r="B26" s="65" t="str">
        <f>Langues1!C518</f>
        <v>Gestion du programme</v>
      </c>
      <c r="C26" s="23">
        <f>'3'!I21</f>
        <v>0</v>
      </c>
      <c r="D26" s="1" t="s">
        <v>597</v>
      </c>
      <c r="E26" s="23">
        <f>SUM('3'!Q11,'3'!Q12)</f>
        <v>0</v>
      </c>
      <c r="F26" s="67" t="e">
        <f>E26/E$29</f>
        <v>#DIV/0!</v>
      </c>
    </row>
    <row r="27" spans="1:8" x14ac:dyDescent="0.3">
      <c r="A27" s="1"/>
      <c r="B27" s="65" t="str">
        <f>Langues1!C521</f>
        <v>Mesures d'accompagnement</v>
      </c>
      <c r="C27" s="23">
        <f>'3'!J21</f>
        <v>0</v>
      </c>
      <c r="D27" s="1" t="s">
        <v>597</v>
      </c>
      <c r="E27" s="23">
        <f>SUM('3'!Q14:'3'!Q20)</f>
        <v>0</v>
      </c>
      <c r="F27" s="67" t="e">
        <f>E27/E$29</f>
        <v>#DIV/0!</v>
      </c>
    </row>
    <row r="28" spans="1:8" ht="12.9" thickBot="1" x14ac:dyDescent="0.35">
      <c r="A28" s="1"/>
      <c r="B28" s="65" t="str">
        <f>Langues1!C531</f>
        <v>Mesures de soutien</v>
      </c>
      <c r="C28" s="23">
        <f>'3'!J36</f>
        <v>0</v>
      </c>
      <c r="D28" s="1" t="s">
        <v>597</v>
      </c>
      <c r="E28" s="23">
        <f>'3'!Q36</f>
        <v>0</v>
      </c>
      <c r="F28" s="259" t="e">
        <f>E28/E$29</f>
        <v>#DIV/0!</v>
      </c>
    </row>
    <row r="29" spans="1:8" ht="12.9" thickBot="1" x14ac:dyDescent="0.35">
      <c r="A29" s="1"/>
      <c r="B29" s="65" t="str">
        <f>Langues1!C354</f>
        <v>Coûts totaux</v>
      </c>
      <c r="C29" s="23">
        <f>'3'!I41</f>
        <v>0</v>
      </c>
      <c r="D29" s="1" t="s">
        <v>597</v>
      </c>
      <c r="E29" s="258">
        <f>SUM(E26:E28)</f>
        <v>0</v>
      </c>
      <c r="F29" s="260" t="e">
        <f>E29/C29</f>
        <v>#DIV/0!</v>
      </c>
      <c r="H29" s="31" t="str">
        <f>Langues1!C143</f>
        <v>Coût total du programme</v>
      </c>
    </row>
    <row r="30" spans="1:8" ht="7.5" customHeight="1" x14ac:dyDescent="0.3">
      <c r="A30" s="5"/>
      <c r="B30" s="12"/>
      <c r="C30" s="93"/>
      <c r="D30" s="5"/>
      <c r="E30" s="92"/>
      <c r="F30" s="5"/>
      <c r="H30" s="17"/>
    </row>
    <row r="31" spans="1:8" ht="15" thickBot="1" x14ac:dyDescent="0.35">
      <c r="A31" s="1"/>
      <c r="B31" s="448" t="str">
        <f>Langues1!C390</f>
        <v>Financement</v>
      </c>
      <c r="C31" s="449"/>
      <c r="D31" s="449"/>
      <c r="E31" s="450"/>
      <c r="F31" s="451"/>
    </row>
    <row r="32" spans="1:8" ht="24.75" customHeight="1" x14ac:dyDescent="0.3">
      <c r="A32" s="4"/>
      <c r="B32" s="78" t="str">
        <f>'3'!M9</f>
        <v>Prestations propres (travail) de l'organisme porteur</v>
      </c>
      <c r="C32" s="23">
        <f>'3'!M21+'3'!M36</f>
        <v>0</v>
      </c>
      <c r="D32" s="237" t="s">
        <v>597</v>
      </c>
      <c r="E32" s="455" t="e">
        <f>SUM('3'!M39+'3'!N39)</f>
        <v>#DIV/0!</v>
      </c>
      <c r="F32" s="238"/>
      <c r="G32" s="5"/>
    </row>
    <row r="33" spans="1:10" ht="24.75" customHeight="1" thickBot="1" x14ac:dyDescent="0.35">
      <c r="A33" s="4"/>
      <c r="B33" s="78" t="str">
        <f>'3'!N9</f>
        <v>Prestations propres (espèces) de l'organisme porteur</v>
      </c>
      <c r="C33" s="23">
        <f>'3'!N21+'3'!N36</f>
        <v>0</v>
      </c>
      <c r="D33" s="237" t="s">
        <v>597</v>
      </c>
      <c r="E33" s="456"/>
      <c r="F33" s="238"/>
      <c r="G33" s="5"/>
    </row>
    <row r="34" spans="1:10" ht="12.9" thickBot="1" x14ac:dyDescent="0.35">
      <c r="A34" s="4"/>
      <c r="B34" s="65" t="str">
        <f>'3'!O9</f>
        <v>Autres bailleurs de fonds (client cibles)</v>
      </c>
      <c r="C34" s="23">
        <f>'3'!O21+'3'!O36</f>
        <v>0</v>
      </c>
      <c r="D34" s="237" t="s">
        <v>597</v>
      </c>
      <c r="E34" s="260" t="e">
        <f>'3'!O39</f>
        <v>#DIV/0!</v>
      </c>
      <c r="F34" s="238"/>
      <c r="G34" s="5"/>
      <c r="H34" s="31" t="str">
        <f>Langues1!C415</f>
        <v>Principalement financé par la clientèle cible</v>
      </c>
    </row>
    <row r="35" spans="1:10" x14ac:dyDescent="0.3">
      <c r="A35" s="4"/>
      <c r="B35" s="78" t="str">
        <f>'3'!P9</f>
        <v>Autres fonds de soutien (sauf fédéral)</v>
      </c>
      <c r="C35" s="23">
        <f>'3'!P21+'3'!P36</f>
        <v>0</v>
      </c>
      <c r="D35" s="1" t="s">
        <v>597</v>
      </c>
      <c r="E35" s="262" t="e">
        <f>'3'!P39</f>
        <v>#DIV/0!</v>
      </c>
      <c r="F35" s="238"/>
      <c r="G35" s="5"/>
      <c r="H35" s="31" t="str">
        <f>Langues1!C412</f>
        <v>Contributions " à fonds perdus " reçues (canton, communes, fondations, SI, etc.)</v>
      </c>
    </row>
    <row r="36" spans="1:10" ht="7.5" customHeight="1" x14ac:dyDescent="0.3">
      <c r="A36" s="5"/>
      <c r="B36" s="5"/>
      <c r="C36" s="91"/>
      <c r="D36" s="5"/>
      <c r="E36" s="92"/>
      <c r="F36" s="264" t="e">
        <f>SUM(F29,E32:E35)</f>
        <v>#DIV/0!</v>
      </c>
    </row>
    <row r="37" spans="1:10" ht="15" thickBot="1" x14ac:dyDescent="0.35">
      <c r="A37" s="1"/>
      <c r="B37" s="448" t="str">
        <f>Langues1!C592</f>
        <v>Données</v>
      </c>
      <c r="C37" s="449"/>
      <c r="D37" s="449"/>
      <c r="E37" s="450"/>
      <c r="F37" s="451"/>
      <c r="J37" s="69"/>
    </row>
    <row r="38" spans="1:10" ht="25.5" customHeight="1" thickBot="1" x14ac:dyDescent="0.35">
      <c r="A38" s="4"/>
      <c r="B38" s="13" t="str">
        <f>Langues1!C125</f>
        <v>Contribution de Prokilowatt TVA incluse</v>
      </c>
      <c r="C38" s="42">
        <f>'3'!Q41</f>
        <v>0</v>
      </c>
      <c r="D38" s="237" t="s">
        <v>597</v>
      </c>
      <c r="E38" s="261" t="e">
        <f>'3'!R41</f>
        <v>#DIV/0!</v>
      </c>
      <c r="F38" s="272"/>
      <c r="G38" s="5"/>
      <c r="H38" s="31" t="str">
        <f>Langues1!C596</f>
        <v>Part de contribution de soutien ProKilowatt aux coûts totaux sans les coûts des clients cibles</v>
      </c>
    </row>
    <row r="39" spans="1:10" ht="25.5" customHeight="1" thickBot="1" x14ac:dyDescent="0.35">
      <c r="A39" s="4"/>
      <c r="B39" s="457" t="str">
        <f>Langues1!C585</f>
        <v>Part des coûts de gestion et coûts des mesures d'accompagnement</v>
      </c>
      <c r="C39" s="459">
        <f>SUM('3'!I21:J21)</f>
        <v>0</v>
      </c>
      <c r="D39" s="461" t="s">
        <v>597</v>
      </c>
      <c r="E39" s="261" t="e">
        <f>SUM('3'!I22:J22)</f>
        <v>#DIV/0!</v>
      </c>
      <c r="F39" s="273"/>
      <c r="G39" s="5"/>
      <c r="H39" s="31" t="str">
        <f>Langues1!C593</f>
        <v>Part des coûts de gestion et coûts des mesures d'accompagnement aux coûts totaux</v>
      </c>
    </row>
    <row r="40" spans="1:10" ht="25.5" customHeight="1" thickBot="1" x14ac:dyDescent="0.35">
      <c r="A40" s="4"/>
      <c r="B40" s="458"/>
      <c r="C40" s="460"/>
      <c r="D40" s="462"/>
      <c r="E40" s="263" t="e">
        <f>'3'!I23</f>
        <v>#DIV/0!</v>
      </c>
      <c r="F40" s="274"/>
      <c r="G40" s="5"/>
      <c r="H40" s="31" t="str">
        <f>Langues1!C594</f>
        <v>Part des coûts de gestion et coûts des mesures d'accompagnement aux coûts totaux sans les coûts des clients cibles</v>
      </c>
    </row>
    <row r="41" spans="1:10" ht="40.5" customHeight="1" thickBot="1" x14ac:dyDescent="0.35">
      <c r="A41" s="4"/>
      <c r="B41" s="228" t="str">
        <f>Langues1!C583</f>
        <v>Part des contributions de soutien aux investissements des clients cibles ('Moyenne pondérée)</v>
      </c>
      <c r="C41" s="227" t="e">
        <f>'3'!G36</f>
        <v>#DIV/0!</v>
      </c>
      <c r="D41" s="237" t="str">
        <f>Langues1!C515</f>
        <v>[CHF / unité]</v>
      </c>
      <c r="E41" s="261" t="e">
        <f>'3'!I37</f>
        <v>#DIV/0!</v>
      </c>
      <c r="F41" s="275"/>
      <c r="G41" s="5"/>
      <c r="H41" s="31" t="str">
        <f>Langues1!C583</f>
        <v>Part des contributions de soutien aux investissements des clients cibles ('Moyenne pondérée)</v>
      </c>
    </row>
    <row r="42" spans="1:10" ht="7.5" customHeight="1" x14ac:dyDescent="0.3">
      <c r="A42" s="5"/>
      <c r="B42" s="5"/>
      <c r="C42" s="5"/>
      <c r="D42" s="5"/>
      <c r="E42" s="5"/>
      <c r="F42" s="5"/>
    </row>
    <row r="43" spans="1:10" ht="14.6" hidden="1" x14ac:dyDescent="0.3">
      <c r="A43" s="1"/>
      <c r="B43" s="448" t="str">
        <f>Langues1!C146</f>
        <v>Durée de retour sur investissement du programme</v>
      </c>
      <c r="C43" s="449"/>
      <c r="D43" s="449"/>
      <c r="E43" s="449"/>
      <c r="F43" s="451"/>
    </row>
    <row r="44" spans="1:10" ht="40.5" hidden="1" customHeight="1" x14ac:dyDescent="0.3">
      <c r="A44" s="1"/>
      <c r="B44" s="98" t="str">
        <f>Langues1!C126</f>
        <v>Durée de retour sur investissement du programme (sans moyens de soutien engagés)</v>
      </c>
      <c r="C44" s="97"/>
      <c r="D44" s="96"/>
      <c r="E44" s="68">
        <f>IF(ISERROR((C29-C35)/E22),0,(C29-C35)/E22)</f>
        <v>0</v>
      </c>
      <c r="F44" s="1" t="str">
        <f>Langues1!C132</f>
        <v>[an(s)]</v>
      </c>
      <c r="H44" s="31" t="str">
        <f>Langues1!C126</f>
        <v>Durée de retour sur investissement du programme (sans moyens de soutien engagés)</v>
      </c>
    </row>
    <row r="45" spans="1:10" ht="40.5" hidden="1" customHeight="1" x14ac:dyDescent="0.3">
      <c r="A45" s="1"/>
      <c r="B45" s="284" t="str">
        <f>Langues1!C605</f>
        <v>Durée de retour sur investissement du programme (avec moyens de soutien engagés)</v>
      </c>
      <c r="C45" s="283"/>
      <c r="D45" s="282"/>
      <c r="E45" s="68">
        <f>IF(ISERROR((C29-C38-C35)/E22),0,(C29-C38-C35)/E22)</f>
        <v>0</v>
      </c>
      <c r="F45" s="1" t="str">
        <f>Langues1!C132</f>
        <v>[an(s)]</v>
      </c>
      <c r="H45" s="31" t="str">
        <f>Langues1!C605</f>
        <v>Durée de retour sur investissement du programme (avec moyens de soutien engagés)</v>
      </c>
    </row>
    <row r="46" spans="1:10" ht="7.5" hidden="1" customHeight="1" x14ac:dyDescent="0.3">
      <c r="A46" s="5"/>
      <c r="B46" s="5"/>
      <c r="C46" s="5"/>
      <c r="D46" s="5"/>
      <c r="E46" s="94"/>
      <c r="F46" s="5"/>
    </row>
    <row r="47" spans="1:10" ht="14.6" x14ac:dyDescent="0.3">
      <c r="A47" s="1"/>
      <c r="B47" s="448" t="str">
        <f>Langues1!C127</f>
        <v>Efficacité du programme</v>
      </c>
      <c r="C47" s="449"/>
      <c r="D47" s="449"/>
      <c r="E47" s="449"/>
      <c r="F47" s="451"/>
    </row>
    <row r="48" spans="1:10" ht="25.5" customHeight="1" x14ac:dyDescent="0.3">
      <c r="A48" s="1"/>
      <c r="B48" s="78" t="str">
        <f>Langues1!C128</f>
        <v>Efficacité des moyens de soutien engagés</v>
      </c>
      <c r="C48" s="1"/>
      <c r="D48" s="1"/>
      <c r="E48" s="376">
        <f>IF(C23=0,0,C38/C23*100)</f>
        <v>0</v>
      </c>
      <c r="F48" s="79" t="str">
        <f>Langues1!C131</f>
        <v>[Ct./kWh]</v>
      </c>
      <c r="H48" s="137" t="str">
        <f>Langues1!C147</f>
        <v>Facteur d'efficacité : rapport entre les moyens mis en œuvre dans le cadre des appels d'offres publics et les kWh économisés sur la durée totale d'utilisation.
Attention : obtiennent l'adjudication les programmes présentant, par rapport au budget, le ratio coûts/utilité le plus favorable. Ce paramètre fait l'objet d'une pondération de 0.7.</v>
      </c>
    </row>
  </sheetData>
  <sheetProtection algorithmName="SHA-512" hashValue="Korodp1PPfVrRxOkExnQYSSPUiiVzJmwL8tuzbhswTxzhElg0ePmUILUcGki20ONyV/CCQQqVv/sMtcIKGZ4jg==" saltValue="MKd29cztK/UK3xHLUq/K9g==" spinCount="100000" sheet="1" objects="1" scenarios="1"/>
  <mergeCells count="21">
    <mergeCell ref="H2:H4"/>
    <mergeCell ref="A1:B2"/>
    <mergeCell ref="C1:F1"/>
    <mergeCell ref="C2:E2"/>
    <mergeCell ref="A3:B3"/>
    <mergeCell ref="C3:E3"/>
    <mergeCell ref="A4:B4"/>
    <mergeCell ref="C4:E4"/>
    <mergeCell ref="B37:F37"/>
    <mergeCell ref="B43:F43"/>
    <mergeCell ref="B47:F47"/>
    <mergeCell ref="B7:F7"/>
    <mergeCell ref="B11:F11"/>
    <mergeCell ref="B17:F17"/>
    <mergeCell ref="B21:F21"/>
    <mergeCell ref="B31:F31"/>
    <mergeCell ref="E32:E33"/>
    <mergeCell ref="B39:B40"/>
    <mergeCell ref="C39:C40"/>
    <mergeCell ref="D39:D40"/>
    <mergeCell ref="C9:F9"/>
  </mergeCells>
  <phoneticPr fontId="29" type="noConversion"/>
  <pageMargins left="0.78740157480314965" right="0.59055118110236227" top="0.74803149606299213" bottom="0.74803149606299213" header="0.31496062992125984" footer="0.31496062992125984"/>
  <pageSetup paperSize="9" scale="9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6">
    <pageSetUpPr fitToPage="1"/>
  </sheetPr>
  <dimension ref="A1:H18"/>
  <sheetViews>
    <sheetView zoomScaleNormal="100" workbookViewId="0">
      <pane ySplit="4" topLeftCell="A5" activePane="bottomLeft" state="frozen"/>
      <selection activeCell="D27" sqref="D27:D32"/>
      <selection pane="bottomLeft" activeCell="E17" sqref="E17"/>
    </sheetView>
  </sheetViews>
  <sheetFormatPr baseColWidth="10" defaultColWidth="11.3828125" defaultRowHeight="12.45" x14ac:dyDescent="0.3"/>
  <cols>
    <col min="1" max="1" width="3.53515625" style="9" customWidth="1"/>
    <col min="2" max="5" width="20.69140625" style="9" customWidth="1"/>
    <col min="6" max="6" width="5.53515625" style="9" customWidth="1"/>
    <col min="7" max="7" width="68.3828125" style="9" customWidth="1"/>
    <col min="8" max="8" width="71.3046875" style="9" customWidth="1"/>
    <col min="9" max="16384" width="11.3828125" style="9"/>
  </cols>
  <sheetData>
    <row r="1" spans="1:8" ht="24.75" customHeight="1" x14ac:dyDescent="0.3">
      <c r="A1" s="468"/>
      <c r="B1" s="469"/>
      <c r="C1" s="472" t="str">
        <f>Menu!C15</f>
        <v>Brève description du programme</v>
      </c>
      <c r="D1" s="473"/>
      <c r="E1" s="474"/>
      <c r="G1" s="35" t="str">
        <f>Langues1!C166</f>
        <v>Indications et explications</v>
      </c>
    </row>
    <row r="2" spans="1:8" ht="21" customHeight="1" x14ac:dyDescent="0.3">
      <c r="A2" s="470"/>
      <c r="B2" s="471"/>
      <c r="C2" s="475" t="str">
        <f>Langues1!C107</f>
        <v>Statut</v>
      </c>
      <c r="D2" s="491"/>
      <c r="E2" s="1">
        <f>SUM(F12:F18)</f>
        <v>5</v>
      </c>
    </row>
    <row r="3" spans="1:8" x14ac:dyDescent="0.3">
      <c r="A3" s="477" t="str">
        <f>'0'!A3</f>
        <v>Partenaire principal</v>
      </c>
      <c r="B3" s="477"/>
      <c r="C3" s="478">
        <f>'2'!C7</f>
        <v>0</v>
      </c>
      <c r="D3" s="482"/>
      <c r="E3" s="1"/>
    </row>
    <row r="4" spans="1:8" x14ac:dyDescent="0.3">
      <c r="A4" s="480" t="str">
        <f>'0'!A4</f>
        <v>Acronyme du programme</v>
      </c>
      <c r="B4" s="481"/>
      <c r="C4" s="478">
        <f>'1'!C8</f>
        <v>0</v>
      </c>
      <c r="D4" s="482"/>
      <c r="E4" s="1"/>
    </row>
    <row r="5" spans="1:8" x14ac:dyDescent="0.3">
      <c r="A5" s="10">
        <v>1.1000000000000001</v>
      </c>
      <c r="B5" s="444" t="str">
        <f>Langues1!C152</f>
        <v>Description du programme</v>
      </c>
      <c r="C5" s="493"/>
      <c r="D5" s="493"/>
      <c r="E5" s="493"/>
    </row>
    <row r="6" spans="1:8" ht="12.75" customHeight="1" x14ac:dyDescent="0.3">
      <c r="A6" s="14"/>
      <c r="B6" s="2" t="str">
        <f>Langues1!C648</f>
        <v>Secteur</v>
      </c>
      <c r="C6" s="489"/>
      <c r="D6" s="489"/>
      <c r="E6" s="489"/>
      <c r="F6" s="5">
        <f>COUNTBLANK(C6)</f>
        <v>1</v>
      </c>
    </row>
    <row r="7" spans="1:8" ht="20.149999999999999" customHeight="1" x14ac:dyDescent="0.3">
      <c r="A7" s="14"/>
      <c r="B7" s="2" t="str">
        <f>Langues1!C153</f>
        <v>Nom du programme</v>
      </c>
      <c r="C7" s="489"/>
      <c r="D7" s="489"/>
      <c r="E7" s="489"/>
      <c r="F7" s="5">
        <f>COUNTBLANK(C7)</f>
        <v>1</v>
      </c>
      <c r="G7" s="11" t="str">
        <f>Langues1!C164</f>
        <v>Titre du programme</v>
      </c>
    </row>
    <row r="8" spans="1:8" ht="20.149999999999999" customHeight="1" x14ac:dyDescent="0.3">
      <c r="A8" s="14"/>
      <c r="B8" s="2" t="str">
        <f>Langues1!C154</f>
        <v>Acronyme du programme</v>
      </c>
      <c r="C8" s="489"/>
      <c r="D8" s="489"/>
      <c r="E8" s="489"/>
      <c r="F8" s="5">
        <f>COUNTBLANK(C8)</f>
        <v>1</v>
      </c>
      <c r="G8" s="11" t="str">
        <f>Langues1!C165</f>
        <v>Désignation abrégée (abréviation) du programme (15 caractères maximum)</v>
      </c>
    </row>
    <row r="9" spans="1:8" ht="28.5" hidden="1" customHeight="1" x14ac:dyDescent="0.3">
      <c r="A9" s="14"/>
      <c r="B9" s="13" t="str">
        <f>Langues1!C586</f>
        <v>Type de programme</v>
      </c>
      <c r="C9" s="490" t="str">
        <f>Ctrl!$A$3</f>
        <v>Programme</v>
      </c>
      <c r="D9" s="490"/>
      <c r="E9" s="490"/>
      <c r="F9" s="5">
        <f>COUNTBLANK(C9)</f>
        <v>0</v>
      </c>
      <c r="G9" s="17" t="str">
        <f>Langues1!C595</f>
        <v>S'il s'agit du programme ou un programme sectoriel il faut chosir le type correct.</v>
      </c>
    </row>
    <row r="11" spans="1:8" x14ac:dyDescent="0.3">
      <c r="A11" s="10">
        <v>1.2</v>
      </c>
      <c r="B11" s="494" t="str">
        <f>Langues1!C155</f>
        <v>Brève description du programme (État récapitulatif, publié en cas d'acceptation !)</v>
      </c>
      <c r="C11" s="494"/>
      <c r="D11" s="494"/>
      <c r="E11" s="494"/>
      <c r="F11" s="9">
        <f>LEN(B12)</f>
        <v>0</v>
      </c>
      <c r="H11" s="9" t="str">
        <f>Langues1!C174</f>
        <v>Exemple</v>
      </c>
    </row>
    <row r="12" spans="1:8" ht="400" customHeight="1" x14ac:dyDescent="0.3">
      <c r="A12" s="14"/>
      <c r="B12" s="483"/>
      <c r="C12" s="484"/>
      <c r="D12" s="484"/>
      <c r="E12" s="485"/>
      <c r="F12" s="5">
        <f>IF(OR(F11&gt;2000,COUNTBLANK(B12)),1,0)</f>
        <v>1</v>
      </c>
      <c r="G12" s="152" t="str">
        <f>Langues1!C167</f>
        <v xml:space="preserve">Texte du chapitre 1.1 Brève description du concept du programme
Brève description du programme comprenant les points suivants (max. 2'000 caractères) :
- Situation initiale
- Objectifs / Mesures planifiées
- Public cible
- Mécanisme de soutien
- Economies d'électricité 
- Zone géographique
- Organisme porteur (partenaires, rôle, organisation)
- Coûts / Financement
- Distinction avec d'autres mesures existantes et/ou prévues
En cas d'acceptation, cette brève description est utilisée pour la communication sur Internet et dans d'autres médias ! 
Si la brève description ne remplit pas les exigences, le porteur du programme devra la retravailler avant la publication.
</v>
      </c>
      <c r="H12" s="31" t="str">
        <f>Langues1!C175</f>
        <v xml:space="preserve">- Pour les exploitations agricoles, l’efficience énergétique jouait jusqu’à présent un rôle secondaire, bien qu’en moyenne, une ferme suisse consomme près de 14‘000kWh par an. La production d’eau chaude ainsi que le refroidissement du lait constituent la majeure partie de la consommation électrique des laiteries. 
- Le programme a pour objectif d’optimiser l’efficience énergétique de ces fermes grâce à des mesures efficientes. Ainsi, la chaleur récupérée lors du refroidissement du lait va servir au réchauffement de l’eau sanitaire. 
- Jusqu’à présent, les fermes suisses n’installent que très peu de systèmes de récupération de chaleur. Plusieurs raisons sont en cause, notamment le fait que le système n’est pas encore assez connu, l’offre des fabricants trop faible ou encore le manque d’incitation pour l’économie d’énergie.
- AgroCleanTech (l’agence de l'agriculture suisse pour l'énergie et le climat) a développé ce programme avec ses partenaires; l’Agence de l’énergie de Saint-Gall, les Associations de fermiers d’Aarau, Fribourg et de Saint-Gall et les services de conseils agricoles des cantons respectifs.
- Le but est de sensibiliser les agriculteurs à l’efficience énergétique. À terme, le programme rendra le procédé de récupération de la chaleur provenant du refroidissement du lait plus connu afin d’inciter le marché à développer de plus en plus de systèmes toujours plus efficients et à élargir l’offre de produits. 
- Le programme a une durée de 3 ans et couvrira les cantons d’Argovie, de Fribourg et de Saint-Gall. Une extension sur deux autres cantons est prévu. Dans le cadre de ce programme, un kilowattheure coûte tout juste 5 centimes en subvention. 
- En tout, 1.3 million de francs suisses doivent être investis pour un total d’environ 20 GWh d’économie.
- Les fermiers pourront ainsi bénéficier d’une subvention de CHF 1‘400.- s’ils décident de changer leur installation.
</v>
      </c>
    </row>
    <row r="13" spans="1:8" ht="20.149999999999999" customHeight="1" x14ac:dyDescent="0.3">
      <c r="A13" s="14"/>
      <c r="B13" s="443" t="str">
        <f>Langues1!C156</f>
        <v>Orientation (couverture) géographique des mesures</v>
      </c>
      <c r="C13" s="443"/>
      <c r="D13" s="443"/>
      <c r="E13" s="134"/>
      <c r="F13" s="5">
        <f>COUNTBLANK(E13)</f>
        <v>1</v>
      </c>
      <c r="G13" s="17" t="str">
        <f>Langues1!C168</f>
        <v>Couverture géographique du programme</v>
      </c>
      <c r="H13" s="9">
        <f>LEN(H12)</f>
        <v>1909</v>
      </c>
    </row>
    <row r="14" spans="1:8" ht="40" customHeight="1" x14ac:dyDescent="0.3">
      <c r="A14" s="14"/>
      <c r="B14" s="13" t="str">
        <f>Langues1!C157</f>
        <v>Précisions sur l'orientation géographique</v>
      </c>
      <c r="C14" s="486"/>
      <c r="D14" s="487"/>
      <c r="E14" s="488"/>
      <c r="F14" s="5">
        <f>COUNTBLANK(C14)</f>
        <v>1</v>
      </c>
      <c r="G14" s="329" t="str">
        <f>Langues1!C169</f>
        <v>Explication de l'orientation géographique. La liste complète des communes participantes doit être fournie à la demande en annexe.</v>
      </c>
    </row>
    <row r="15" spans="1:8" ht="20.149999999999999" customHeight="1" x14ac:dyDescent="0.3">
      <c r="A15" s="14"/>
      <c r="B15" s="443" t="str">
        <f>Langues1!C158</f>
        <v>Quelle est la durée du programme (en mois) ?</v>
      </c>
      <c r="C15" s="443"/>
      <c r="D15" s="443"/>
      <c r="E15" s="338">
        <f>(YEAR(E17)-YEAR(D17))*12+MONTH(E17)-MONTH(D17)</f>
        <v>0</v>
      </c>
      <c r="F15" s="5">
        <f>IF(OR($E$15&lt;12,E15&gt;36),1,0)</f>
        <v>1</v>
      </c>
      <c r="G15" s="329" t="str">
        <f>Langues1!C170</f>
        <v>Durée du programme (en mois) comprise entre 12 et 36 mois</v>
      </c>
    </row>
    <row r="16" spans="1:8" ht="12.75" customHeight="1" x14ac:dyDescent="0.3">
      <c r="A16" s="4"/>
      <c r="B16" s="480" t="str">
        <f>Langues1!C159</f>
        <v>Indications sur la réalisation</v>
      </c>
      <c r="C16" s="492"/>
      <c r="D16" s="2" t="str">
        <f>Langues1!C162</f>
        <v>Début [mois, année]</v>
      </c>
      <c r="E16" s="64" t="str">
        <f>Langues1!C163</f>
        <v>Fin [mois, année]</v>
      </c>
      <c r="G16" s="17"/>
    </row>
    <row r="17" spans="1:7" ht="25.5" customHeight="1" x14ac:dyDescent="0.3">
      <c r="A17" s="14"/>
      <c r="B17" s="443" t="str">
        <f>Langues1!C160</f>
        <v>Date de réalisation du programme</v>
      </c>
      <c r="C17" s="443"/>
      <c r="D17" s="303"/>
      <c r="E17" s="302"/>
      <c r="F17" s="5">
        <f>IF(OR(D17&lt;DATEVALUE("01.10.2019"),E17&gt;DATEVALUE("31.03.2023")),1,COUNTBLANK(D17:E17))</f>
        <v>1</v>
      </c>
      <c r="G17" s="33" t="str">
        <f>Langues1!C171</f>
        <v xml:space="preserve">Indications des dates possibles pour le début (&gt; 01.10.2019) et la fin  (&lt; 31.03.2023) du programme </v>
      </c>
    </row>
    <row r="18" spans="1:7" ht="60" customHeight="1" x14ac:dyDescent="0.3">
      <c r="A18" s="4"/>
      <c r="B18" s="22" t="str">
        <f>Langues1!C161</f>
        <v>Remarques concernant le calendrier de réalisation</v>
      </c>
      <c r="C18" s="486"/>
      <c r="D18" s="487"/>
      <c r="E18" s="488"/>
      <c r="F18" s="3"/>
      <c r="G18" s="33" t="str">
        <f>Langues1!C172</f>
        <v>Remarques concernant la date de début la plus tôt possible et le calendrier de réalisation</v>
      </c>
    </row>
  </sheetData>
  <sheetProtection algorithmName="SHA-512" hashValue="DNAC/0YFANWZAVzfvalfGm6GYvqG+y3cc22SmqZQSAHQHhCgN5nyoubYDRxRS4bdJLuROqDqVM0fbVSg26h5zA==" saltValue="hUKY+GFtLKwg0gAWLGgXmg==" spinCount="100000" sheet="1" objects="1" scenarios="1" formatCells="0" formatColumns="0" formatRows="0"/>
  <mergeCells count="20">
    <mergeCell ref="B16:C16"/>
    <mergeCell ref="B17:C17"/>
    <mergeCell ref="B5:E5"/>
    <mergeCell ref="C6:E6"/>
    <mergeCell ref="C18:E18"/>
    <mergeCell ref="B11:E11"/>
    <mergeCell ref="A1:B2"/>
    <mergeCell ref="C1:E1"/>
    <mergeCell ref="C2:D2"/>
    <mergeCell ref="A3:B3"/>
    <mergeCell ref="C3:D3"/>
    <mergeCell ref="C4:D4"/>
    <mergeCell ref="A4:B4"/>
    <mergeCell ref="B12:E12"/>
    <mergeCell ref="B15:D15"/>
    <mergeCell ref="C14:E14"/>
    <mergeCell ref="B13:D13"/>
    <mergeCell ref="C7:E7"/>
    <mergeCell ref="C8:E8"/>
    <mergeCell ref="C9:E9"/>
  </mergeCells>
  <phoneticPr fontId="29" type="noConversion"/>
  <conditionalFormatting sqref="F12:F15 E2 F6:F9">
    <cfRule type="cellIs" dxfId="88" priority="15" stopIfTrue="1" operator="notEqual">
      <formula>0</formula>
    </cfRule>
    <cfRule type="cellIs" dxfId="87" priority="16" stopIfTrue="1" operator="equal">
      <formula>0</formula>
    </cfRule>
  </conditionalFormatting>
  <conditionalFormatting sqref="F17">
    <cfRule type="cellIs" dxfId="86" priority="6" stopIfTrue="1" operator="notEqual">
      <formula>0</formula>
    </cfRule>
    <cfRule type="cellIs" dxfId="85" priority="7" stopIfTrue="1" operator="equal">
      <formula>0</formula>
    </cfRule>
  </conditionalFormatting>
  <conditionalFormatting sqref="H15">
    <cfRule type="containsText" dxfId="84" priority="2" operator="containsText" text="12">
      <formula>NOT(ISERROR(SEARCH("12",H15)))</formula>
    </cfRule>
  </conditionalFormatting>
  <dataValidations count="3">
    <dataValidation type="textLength" allowBlank="1" showInputMessage="1" showErrorMessage="1" sqref="B12:E12" xr:uid="{00000000-0002-0000-0300-000000000000}">
      <formula1>0</formula1>
      <formula2>2000</formula2>
    </dataValidation>
    <dataValidation type="date" allowBlank="1" showInputMessage="1" showErrorMessage="1" errorTitle="Error" error="Date format : jj.mm.aaaa_x000a_&gt;01.10.2019_x000a_&lt;31.03.2023_x000a_" sqref="E17" xr:uid="{00000000-0002-0000-0300-000001000000}">
      <formula1>43739</formula1>
      <formula2>45016</formula2>
    </dataValidation>
    <dataValidation type="date" allowBlank="1" showInputMessage="1" showErrorMessage="1" errorTitle="Error" error="Date format : jj.mm.aaaa_x000a_&gt;01.10.2019_x000a_&lt;31.03.2023" sqref="D17" xr:uid="{00000000-0002-0000-0300-000002000000}">
      <formula1>43739</formula1>
      <formula2>45016</formula2>
    </dataValidation>
  </dataValidations>
  <pageMargins left="0.78740157480314965" right="0.59055118110236227" top="0.74803149606299213" bottom="0.74803149606299213"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Langues1!$C$97:$C$100</xm:f>
          </x14:formula1>
          <xm:sqref>E13</xm:sqref>
        </x14:dataValidation>
        <x14:dataValidation type="list" allowBlank="1" showInputMessage="1" showErrorMessage="1" xr:uid="{00000000-0002-0000-0300-000004000000}">
          <x14:formula1>
            <xm:f>Listes_techno!$E$3:$E$13</xm:f>
          </x14:formula1>
          <xm:sqref>C6:E6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
    <pageSetUpPr fitToPage="1"/>
  </sheetPr>
  <dimension ref="A1:G22"/>
  <sheetViews>
    <sheetView workbookViewId="0">
      <pane ySplit="4" topLeftCell="A5" activePane="bottomLeft" state="frozen"/>
      <selection activeCell="D27" sqref="D27:D32"/>
      <selection pane="bottomLeft" activeCell="G8" sqref="G8"/>
    </sheetView>
  </sheetViews>
  <sheetFormatPr baseColWidth="10" defaultColWidth="11.3828125" defaultRowHeight="12.45" x14ac:dyDescent="0.3"/>
  <cols>
    <col min="1" max="1" width="3.53515625" style="9" customWidth="1"/>
    <col min="2" max="5" width="20.69140625" style="9" customWidth="1"/>
    <col min="6" max="6" width="5.53515625" style="9" customWidth="1"/>
    <col min="7" max="7" width="70" style="9" customWidth="1"/>
    <col min="8" max="16384" width="11.3828125" style="9"/>
  </cols>
  <sheetData>
    <row r="1" spans="1:7" ht="24.75" customHeight="1" x14ac:dyDescent="0.3">
      <c r="A1" s="468"/>
      <c r="B1" s="469"/>
      <c r="C1" s="472" t="str">
        <f>Menu!C16</f>
        <v>Organisme porteur / Organisation</v>
      </c>
      <c r="D1" s="473"/>
      <c r="E1" s="474"/>
      <c r="G1" s="35" t="str">
        <f>Langues1!C166</f>
        <v>Indications et explications</v>
      </c>
    </row>
    <row r="2" spans="1:7" ht="21" customHeight="1" x14ac:dyDescent="0.3">
      <c r="A2" s="470"/>
      <c r="B2" s="471"/>
      <c r="C2" s="475" t="str">
        <f>'1'!C2</f>
        <v>Statut</v>
      </c>
      <c r="D2" s="491"/>
      <c r="E2" s="1">
        <f>SUM(F7:F22)</f>
        <v>18</v>
      </c>
      <c r="G2" s="505" t="str">
        <f>Langues1!C197</f>
        <v>Les organisations individuelles de l'organisme porteur doivent êtres décrites en détail dans le concept du programme.</v>
      </c>
    </row>
    <row r="3" spans="1:7" x14ac:dyDescent="0.3">
      <c r="A3" s="480" t="str">
        <f>'0'!A3</f>
        <v>Partenaire principal</v>
      </c>
      <c r="B3" s="481"/>
      <c r="C3" s="478">
        <f>'2'!C7</f>
        <v>0</v>
      </c>
      <c r="D3" s="482"/>
      <c r="E3" s="1"/>
      <c r="G3" s="505"/>
    </row>
    <row r="4" spans="1:7" x14ac:dyDescent="0.3">
      <c r="A4" s="480" t="str">
        <f>'0'!A4</f>
        <v>Acronyme du programme</v>
      </c>
      <c r="B4" s="481"/>
      <c r="C4" s="478">
        <f>'1'!C8</f>
        <v>0</v>
      </c>
      <c r="D4" s="482"/>
      <c r="E4" s="1"/>
      <c r="G4" s="505"/>
    </row>
    <row r="6" spans="1:7" x14ac:dyDescent="0.3">
      <c r="A6" s="10">
        <v>2.1</v>
      </c>
      <c r="B6" s="138" t="s">
        <v>119</v>
      </c>
      <c r="C6" s="138"/>
      <c r="D6" s="138"/>
      <c r="E6" s="138"/>
      <c r="G6" s="138"/>
    </row>
    <row r="7" spans="1:7" ht="20.149999999999999" customHeight="1" x14ac:dyDescent="0.3">
      <c r="A7" s="14"/>
      <c r="B7" s="65" t="str">
        <f>Langues1!C177</f>
        <v>Nom de l'organisation</v>
      </c>
      <c r="C7" s="513"/>
      <c r="D7" s="513"/>
      <c r="E7" s="513"/>
      <c r="F7" s="5">
        <f>COUNTBLANK(C7)</f>
        <v>1</v>
      </c>
      <c r="G7" s="38" t="str">
        <f>Langues1!C198</f>
        <v>Nom de l'organisation porteuse</v>
      </c>
    </row>
    <row r="8" spans="1:7" ht="80.150000000000006" customHeight="1" x14ac:dyDescent="0.3">
      <c r="A8" s="14"/>
      <c r="B8" s="78" t="str">
        <f>Langues1!C210</f>
        <v>Rôle et fonction dans le programme</v>
      </c>
      <c r="C8" s="506"/>
      <c r="D8" s="507"/>
      <c r="E8" s="508"/>
      <c r="F8" s="5">
        <f>COUNTBLANK(C8)</f>
        <v>1</v>
      </c>
      <c r="G8" s="33" t="str">
        <f>Langues1!C211</f>
        <v>Description du rôle et de la fonction de l'organisation dans le programme</v>
      </c>
    </row>
    <row r="9" spans="1:7" ht="19.5" customHeight="1" x14ac:dyDescent="0.3">
      <c r="A9" s="14"/>
      <c r="B9" s="65" t="str">
        <f>Langues1!C178</f>
        <v>Forme juridique</v>
      </c>
      <c r="C9" s="500"/>
      <c r="D9" s="501"/>
      <c r="E9" s="502"/>
      <c r="F9" s="5">
        <f>COUNTBLANK(C9)</f>
        <v>1</v>
      </c>
      <c r="G9" s="38" t="str">
        <f>B9</f>
        <v>Forme juridique</v>
      </c>
    </row>
    <row r="10" spans="1:7" ht="53.25" customHeight="1" x14ac:dyDescent="0.3">
      <c r="A10" s="4"/>
      <c r="B10" s="78" t="str">
        <f>Langues1!C179</f>
        <v>Précisions sur la forme juridique</v>
      </c>
      <c r="C10" s="509"/>
      <c r="D10" s="510"/>
      <c r="E10" s="511"/>
      <c r="F10" s="5">
        <f>COUNTBLANK(C10)</f>
        <v>1</v>
      </c>
      <c r="G10" s="33" t="str">
        <f>Langues1!C199</f>
        <v>Explications ou précisions sur la forme juridique lorsque celle-ci est une personne privée, une collectivité de droit public ou autre</v>
      </c>
    </row>
    <row r="11" spans="1:7" ht="20.149999999999999" customHeight="1" x14ac:dyDescent="0.3">
      <c r="A11" s="14"/>
      <c r="B11" s="65" t="str">
        <f>Langues1!C180</f>
        <v>Adresse</v>
      </c>
      <c r="C11" s="496"/>
      <c r="D11" s="512"/>
      <c r="E11" s="512"/>
      <c r="F11" s="5">
        <f>COUNTBLANK(C11)</f>
        <v>1</v>
      </c>
      <c r="G11" s="33" t="str">
        <f>Langues1!C200</f>
        <v>Rue ; adresse</v>
      </c>
    </row>
    <row r="12" spans="1:7" ht="20.149999999999999" customHeight="1" x14ac:dyDescent="0.3">
      <c r="A12" s="14"/>
      <c r="B12" s="65" t="str">
        <f>Langues1!C181</f>
        <v>NPA</v>
      </c>
      <c r="C12" s="144"/>
      <c r="D12" s="2" t="str">
        <f>Langues1!C196</f>
        <v>Lieu</v>
      </c>
      <c r="E12" s="146"/>
      <c r="F12" s="5">
        <f>COUNTBLANK(C12:E12)</f>
        <v>2</v>
      </c>
      <c r="G12" s="33" t="str">
        <f>Langues1!C201</f>
        <v>NPA et lieu</v>
      </c>
    </row>
    <row r="13" spans="1:7" ht="20.149999999999999" customHeight="1" x14ac:dyDescent="0.3">
      <c r="A13" s="14"/>
      <c r="B13" s="65" t="str">
        <f>Langues1!C188</f>
        <v>Téléphone</v>
      </c>
      <c r="C13" s="145"/>
      <c r="D13" s="65" t="str">
        <f>Langues1!C195</f>
        <v>Téléphone mobile</v>
      </c>
      <c r="E13" s="146"/>
      <c r="F13" s="5">
        <f>COUNTBLANK(C13:E13)</f>
        <v>2</v>
      </c>
      <c r="G13" s="38" t="str">
        <f>Langues1!C204</f>
        <v>Indiquer les numéros de téléphone sous la forme « 044 245 65 43 »</v>
      </c>
    </row>
    <row r="14" spans="1:7" ht="20.149999999999999" customHeight="1" x14ac:dyDescent="0.3">
      <c r="A14" s="14"/>
      <c r="B14" s="65" t="str">
        <f>Langues1!C189</f>
        <v>E-mail</v>
      </c>
      <c r="C14" s="495"/>
      <c r="D14" s="496"/>
      <c r="E14" s="496"/>
      <c r="F14" s="5">
        <f>COUNTBLANK(C14)</f>
        <v>1</v>
      </c>
      <c r="G14" s="21"/>
    </row>
    <row r="15" spans="1:7" ht="20.149999999999999" customHeight="1" x14ac:dyDescent="0.3">
      <c r="A15" s="14"/>
      <c r="B15" s="65" t="str">
        <f>Langues1!C182</f>
        <v>Site Internet</v>
      </c>
      <c r="C15" s="497"/>
      <c r="D15" s="498"/>
      <c r="E15" s="499"/>
      <c r="F15" s="5">
        <f>COUNTBLANK(C15)</f>
        <v>1</v>
      </c>
      <c r="G15" s="33" t="str">
        <f>Langues1!C182</f>
        <v>Site Internet</v>
      </c>
    </row>
    <row r="16" spans="1:7" x14ac:dyDescent="0.3">
      <c r="G16" s="21"/>
    </row>
    <row r="17" spans="1:7" x14ac:dyDescent="0.3">
      <c r="A17" s="10">
        <v>2.2000000000000002</v>
      </c>
      <c r="B17" s="444" t="str">
        <f>Langues1!C184</f>
        <v>Personne de contact pour les appels d'offres publics</v>
      </c>
      <c r="C17" s="493"/>
      <c r="D17" s="493"/>
      <c r="E17" s="493"/>
      <c r="G17" s="21"/>
    </row>
    <row r="18" spans="1:7" ht="19.5" customHeight="1" x14ac:dyDescent="0.3">
      <c r="A18" s="14"/>
      <c r="B18" s="65" t="str">
        <f>Langues1!C177</f>
        <v>Nom de l'organisation</v>
      </c>
      <c r="C18" s="500"/>
      <c r="D18" s="501"/>
      <c r="E18" s="502"/>
      <c r="F18" s="5">
        <f>COUNTBLANK(C18)</f>
        <v>1</v>
      </c>
      <c r="G18" s="21" t="str">
        <f>Langues1!C203</f>
        <v>Nom de l'organisation de la personne de contact</v>
      </c>
    </row>
    <row r="19" spans="1:7" ht="19.5" customHeight="1" x14ac:dyDescent="0.3">
      <c r="A19" s="14"/>
      <c r="B19" s="65" t="str">
        <f>Langues1!C186</f>
        <v>Nom</v>
      </c>
      <c r="C19" s="147"/>
      <c r="D19" s="65" t="str">
        <f>Langues1!C194</f>
        <v>Prénom</v>
      </c>
      <c r="E19" s="150"/>
      <c r="F19" s="5">
        <f>COUNTBLANK(C19:E19)</f>
        <v>2</v>
      </c>
      <c r="G19" s="38"/>
    </row>
    <row r="20" spans="1:7" ht="19.5" customHeight="1" x14ac:dyDescent="0.3">
      <c r="A20" s="14"/>
      <c r="B20" s="65" t="str">
        <f>Langues1!C187</f>
        <v>Fonction</v>
      </c>
      <c r="C20" s="500"/>
      <c r="D20" s="501"/>
      <c r="E20" s="502"/>
      <c r="F20" s="5">
        <f>COUNTBLANK(C20)</f>
        <v>1</v>
      </c>
      <c r="G20" s="21"/>
    </row>
    <row r="21" spans="1:7" ht="19.5" customHeight="1" x14ac:dyDescent="0.3">
      <c r="A21" s="14"/>
      <c r="B21" s="65" t="str">
        <f>Langues1!C188</f>
        <v>Téléphone</v>
      </c>
      <c r="C21" s="148"/>
      <c r="D21" s="65" t="str">
        <f>Langues1!C195</f>
        <v>Téléphone mobile</v>
      </c>
      <c r="E21" s="149"/>
      <c r="F21" s="5">
        <f>COUNTBLANK(C21:E21)</f>
        <v>2</v>
      </c>
      <c r="G21" s="38" t="str">
        <f>Langues1!C204</f>
        <v>Indiquer les numéros de téléphone sous la forme « 044 245 65 43 »</v>
      </c>
    </row>
    <row r="22" spans="1:7" ht="19.5" customHeight="1" x14ac:dyDescent="0.3">
      <c r="A22" s="14"/>
      <c r="B22" s="65" t="str">
        <f>Langues1!C189</f>
        <v>E-mail</v>
      </c>
      <c r="C22" s="497"/>
      <c r="D22" s="503"/>
      <c r="E22" s="504"/>
      <c r="F22" s="5">
        <f>COUNTBLANK(C22)</f>
        <v>1</v>
      </c>
      <c r="G22" s="21"/>
    </row>
  </sheetData>
  <sheetProtection algorithmName="SHA-512" hashValue="Cxp1cuCM9odiR7Mp2zZwx4Av16j5hpPMTiq4bfmTJ9yarGc5X9y5KixQXEmWQKTnb8djki5WFWpz0uBJt+jFKQ==" saltValue="pJN4i4PIOf/LV8yR0YRPZg==" spinCount="100000" sheet="1" objects="1" scenarios="1" formatCells="0" formatColumns="0" formatRows="0"/>
  <mergeCells count="19">
    <mergeCell ref="G2:G4"/>
    <mergeCell ref="C8:E8"/>
    <mergeCell ref="C10:E10"/>
    <mergeCell ref="C11:E11"/>
    <mergeCell ref="C7:E7"/>
    <mergeCell ref="C9:E9"/>
    <mergeCell ref="C14:E14"/>
    <mergeCell ref="C15:E15"/>
    <mergeCell ref="C18:E18"/>
    <mergeCell ref="C20:E20"/>
    <mergeCell ref="C22:E22"/>
    <mergeCell ref="B17:E17"/>
    <mergeCell ref="A3:B3"/>
    <mergeCell ref="A4:B4"/>
    <mergeCell ref="A1:B2"/>
    <mergeCell ref="C2:D2"/>
    <mergeCell ref="C3:D3"/>
    <mergeCell ref="C4:D4"/>
    <mergeCell ref="C1:E1"/>
  </mergeCells>
  <phoneticPr fontId="21" type="noConversion"/>
  <conditionalFormatting sqref="E2 F7:F15 F18:F22">
    <cfRule type="cellIs" dxfId="83" priority="30" stopIfTrue="1" operator="notEqual">
      <formula>0</formula>
    </cfRule>
    <cfRule type="cellIs" dxfId="82" priority="31" stopIfTrue="1" operator="equal">
      <formula>0</formula>
    </cfRule>
  </conditionalFormatting>
  <conditionalFormatting sqref="A10">
    <cfRule type="expression" dxfId="81" priority="1" stopIfTrue="1">
      <formula>$M$8="B"</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Langues1!$C$58:$C$62</xm:f>
          </x14:formula1>
          <xm:sqref>C9:E9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22">
    <pageSetUpPr fitToPage="1"/>
  </sheetPr>
  <dimension ref="A1:AB48"/>
  <sheetViews>
    <sheetView topLeftCell="G1" zoomScale="85" zoomScaleNormal="85" workbookViewId="0">
      <selection activeCell="U31" sqref="U31:U34"/>
    </sheetView>
  </sheetViews>
  <sheetFormatPr baseColWidth="10" defaultColWidth="11.3828125" defaultRowHeight="12.45" x14ac:dyDescent="0.3"/>
  <cols>
    <col min="1" max="1" width="5.84375" style="71" customWidth="1"/>
    <col min="2" max="2" width="4.69140625" style="71" customWidth="1"/>
    <col min="3" max="3" width="26.69140625" style="71" customWidth="1"/>
    <col min="4" max="4" width="28.53515625" style="71" bestFit="1" customWidth="1"/>
    <col min="5" max="5" width="15.15234375" style="293" customWidth="1"/>
    <col min="6" max="6" width="15.15234375" style="71" customWidth="1"/>
    <col min="7" max="7" width="20" style="71" bestFit="1" customWidth="1"/>
    <col min="8" max="8" width="15.15234375" style="71" customWidth="1"/>
    <col min="9" max="9" width="17.84375" style="71" bestFit="1" customWidth="1"/>
    <col min="10" max="10" width="15.15234375" style="71" customWidth="1"/>
    <col min="11" max="11" width="7.69140625" style="71" bestFit="1" customWidth="1"/>
    <col min="12" max="12" width="15.15234375" style="71" customWidth="1"/>
    <col min="13" max="14" width="16.69140625" style="71" bestFit="1" customWidth="1"/>
    <col min="15" max="17" width="15.15234375" style="71" customWidth="1"/>
    <col min="18" max="18" width="7.69140625" style="71" bestFit="1" customWidth="1"/>
    <col min="19" max="19" width="4.69140625" style="71" customWidth="1"/>
    <col min="20" max="20" width="7.69140625" style="71" bestFit="1" customWidth="1"/>
    <col min="21" max="21" width="164.53515625" style="71" customWidth="1"/>
    <col min="22" max="22" width="54.3046875" style="71" customWidth="1"/>
    <col min="23" max="23" width="11.3828125" style="25" customWidth="1"/>
    <col min="24" max="29" width="11.3828125" style="71" customWidth="1"/>
    <col min="30" max="16384" width="11.3828125" style="71"/>
  </cols>
  <sheetData>
    <row r="1" spans="1:28" ht="24.75" customHeight="1" x14ac:dyDescent="0.3">
      <c r="B1" s="537"/>
      <c r="C1" s="537"/>
      <c r="D1" s="154" t="str">
        <f>Langues1!C384</f>
        <v>Budget (quantification)</v>
      </c>
      <c r="E1" s="285"/>
      <c r="F1" s="155"/>
      <c r="G1" s="155"/>
      <c r="H1" s="155"/>
      <c r="I1" s="155"/>
      <c r="J1" s="163"/>
      <c r="K1" s="166"/>
      <c r="L1" s="154" t="str">
        <f>Langues1!C385</f>
        <v>Financement (quantification)</v>
      </c>
      <c r="M1" s="155"/>
      <c r="N1" s="155"/>
      <c r="O1" s="155"/>
      <c r="P1" s="155"/>
      <c r="Q1" s="155"/>
      <c r="R1" s="545"/>
      <c r="S1" s="545"/>
      <c r="T1" s="545"/>
      <c r="V1" s="72"/>
    </row>
    <row r="2" spans="1:28" ht="21" customHeight="1" x14ac:dyDescent="0.3">
      <c r="B2" s="537"/>
      <c r="C2" s="537"/>
      <c r="D2" s="551" t="str">
        <f>Langues1!C511</f>
        <v>Statut du budget</v>
      </c>
      <c r="E2" s="552"/>
      <c r="F2" s="552"/>
      <c r="G2" s="552"/>
      <c r="H2" s="552"/>
      <c r="I2" s="552"/>
      <c r="J2" s="100">
        <f>(SUM(K11:K12,K14:K20,K27:K35))</f>
        <v>6</v>
      </c>
      <c r="K2" s="166"/>
      <c r="L2" s="551" t="str">
        <f>Langues1!C545</f>
        <v>Statut du financement</v>
      </c>
      <c r="M2" s="552"/>
      <c r="N2" s="552"/>
      <c r="O2" s="552"/>
      <c r="P2" s="552"/>
      <c r="Q2" s="552"/>
      <c r="R2" s="556">
        <f>SUM(T11:T21,T27:T35,T37,T41)</f>
        <v>2</v>
      </c>
      <c r="S2" s="556"/>
      <c r="T2" s="556"/>
    </row>
    <row r="3" spans="1:28" x14ac:dyDescent="0.3">
      <c r="B3" s="540" t="str">
        <f>'0'!A3</f>
        <v>Partenaire principal</v>
      </c>
      <c r="C3" s="541"/>
      <c r="D3" s="161">
        <f>'2'!C7</f>
        <v>0</v>
      </c>
      <c r="E3" s="286"/>
      <c r="F3" s="162"/>
      <c r="G3" s="162"/>
      <c r="H3" s="162"/>
      <c r="I3" s="162"/>
      <c r="J3" s="164"/>
      <c r="K3" s="167"/>
      <c r="L3" s="161"/>
      <c r="M3" s="162"/>
      <c r="N3" s="162"/>
      <c r="O3" s="162"/>
      <c r="P3" s="162"/>
      <c r="Q3" s="162"/>
      <c r="R3" s="546" t="s">
        <v>1397</v>
      </c>
      <c r="S3" s="547"/>
      <c r="T3" s="547"/>
    </row>
    <row r="4" spans="1:28" x14ac:dyDescent="0.3">
      <c r="B4" s="540" t="str">
        <f>'0'!A4</f>
        <v>Acronyme du programme</v>
      </c>
      <c r="C4" s="541"/>
      <c r="D4" s="161">
        <f>'1'!C8</f>
        <v>0</v>
      </c>
      <c r="E4" s="286"/>
      <c r="F4" s="162"/>
      <c r="G4" s="162"/>
      <c r="H4" s="162"/>
      <c r="I4" s="162"/>
      <c r="J4" s="164"/>
      <c r="K4" s="167"/>
      <c r="L4" s="161"/>
      <c r="M4" s="162"/>
      <c r="N4" s="162"/>
      <c r="O4" s="162"/>
      <c r="P4" s="162"/>
      <c r="Q4" s="162"/>
      <c r="R4" s="547"/>
      <c r="S4" s="547"/>
      <c r="T4" s="547"/>
    </row>
    <row r="5" spans="1:28" x14ac:dyDescent="0.3">
      <c r="B5" s="139"/>
      <c r="C5" s="139"/>
      <c r="D5" s="86"/>
      <c r="E5" s="86"/>
      <c r="F5" s="86"/>
      <c r="G5" s="86"/>
      <c r="H5" s="86"/>
      <c r="I5" s="86"/>
      <c r="J5" s="86"/>
      <c r="K5" s="87"/>
      <c r="L5" s="86"/>
      <c r="M5" s="86"/>
      <c r="N5" s="86"/>
      <c r="O5" s="86"/>
      <c r="P5" s="86"/>
      <c r="Q5" s="75"/>
      <c r="R5" s="75"/>
      <c r="T5" s="75"/>
      <c r="U5" s="88"/>
      <c r="V5" s="75"/>
    </row>
    <row r="6" spans="1:28" s="140" customFormat="1" x14ac:dyDescent="0.3">
      <c r="B6" s="231">
        <v>3.1</v>
      </c>
      <c r="C6" s="538" t="str">
        <f>Langues1!C348</f>
        <v>Coûts</v>
      </c>
      <c r="D6" s="538"/>
      <c r="E6" s="169"/>
      <c r="F6" s="169"/>
      <c r="G6" s="169"/>
      <c r="H6" s="169"/>
      <c r="I6" s="169"/>
      <c r="J6" s="169"/>
      <c r="K6" s="232">
        <v>3.2</v>
      </c>
      <c r="L6" s="232" t="str">
        <f>Langues1!C390</f>
        <v>Financement</v>
      </c>
      <c r="M6" s="169"/>
      <c r="N6" s="169"/>
      <c r="O6" s="169"/>
      <c r="P6" s="169"/>
      <c r="Q6" s="168"/>
      <c r="R6" s="168"/>
      <c r="T6" s="168"/>
      <c r="U6" s="170"/>
      <c r="V6" s="168"/>
      <c r="W6" s="265"/>
    </row>
    <row r="7" spans="1:28" s="140" customFormat="1" ht="78" customHeight="1" x14ac:dyDescent="0.3">
      <c r="B7" s="168"/>
      <c r="C7" s="553" t="str">
        <f>Langues1!C512</f>
        <v>La distinction des coûts est faite entre les coûts de gestion (administration), les coûts des mesures d'accompagnement et celui des mesures de soutien particulières à l'attention des clients cibles. Les champs vides sont remplis avec 0 CHF.</v>
      </c>
      <c r="D7" s="554"/>
      <c r="E7" s="554"/>
      <c r="F7" s="554"/>
      <c r="G7" s="554"/>
      <c r="H7" s="554"/>
      <c r="I7" s="554"/>
      <c r="J7" s="555"/>
      <c r="K7" s="168"/>
      <c r="L7" s="553" t="str">
        <f>Langues1!C379</f>
        <v>Le financement des diverses activités est subdivisé par partenaire de financement.
Les champs vides sont renseignés par 0 CHF.
Étant donné que la subdivision du financement est également applicable à l'évaluation des risques, la subdivision est obligatoire.
Dans le cas où des rabais sont accordés, ils doivent être déclarés. Les rabais doivent être ensuite redonnés aux destinataires des programmes (en d'autres termes, aux utilisateurs finaux)</v>
      </c>
      <c r="M7" s="554"/>
      <c r="N7" s="554"/>
      <c r="O7" s="554"/>
      <c r="P7" s="554"/>
      <c r="Q7" s="554"/>
      <c r="R7" s="554"/>
      <c r="S7" s="554"/>
      <c r="T7" s="555"/>
      <c r="U7" s="214"/>
      <c r="V7" s="168"/>
      <c r="W7" s="265"/>
      <c r="Y7" s="277" t="s">
        <v>1594</v>
      </c>
      <c r="Z7" s="140" t="s">
        <v>1595</v>
      </c>
      <c r="AA7" s="140" t="s">
        <v>1596</v>
      </c>
      <c r="AB7" s="277"/>
    </row>
    <row r="8" spans="1:28" s="168" customFormat="1" x14ac:dyDescent="0.3">
      <c r="B8" s="171"/>
      <c r="C8" s="171"/>
      <c r="D8" s="171"/>
      <c r="E8" s="287"/>
      <c r="F8" s="171"/>
      <c r="G8" s="171"/>
      <c r="H8" s="171"/>
      <c r="I8" s="171"/>
      <c r="J8" s="171"/>
      <c r="K8" s="171"/>
      <c r="L8" s="171"/>
      <c r="M8" s="171"/>
      <c r="N8" s="557"/>
      <c r="O8" s="557"/>
      <c r="P8" s="230"/>
      <c r="Q8" s="171"/>
      <c r="R8" s="171"/>
      <c r="U8" s="170"/>
      <c r="X8" s="247">
        <f>IF('1'!C9=Ctrl!A3,1,IF('1'!C9=Ctrl!A4,9,1))</f>
        <v>1</v>
      </c>
      <c r="Y8" s="247">
        <f>IF(X8=7,0.15,IF(X8=9,0.2,0.3))</f>
        <v>0.3</v>
      </c>
      <c r="Z8" s="247">
        <f>IF(X8=7,150000,150000)</f>
        <v>150000</v>
      </c>
      <c r="AA8" s="247">
        <f>IF(X8=7,3000000,IF(X8=9,3000000,3000000))</f>
        <v>3000000</v>
      </c>
      <c r="AB8" s="247">
        <f>IF(X8=7,0.15,0)</f>
        <v>0</v>
      </c>
    </row>
    <row r="9" spans="1:28" s="140" customFormat="1" ht="60" customHeight="1" x14ac:dyDescent="0.3">
      <c r="B9" s="173"/>
      <c r="C9" s="539" t="str">
        <f>Langues1!C360</f>
        <v>Centre de charge</v>
      </c>
      <c r="D9" s="539"/>
      <c r="E9" s="211" t="str">
        <f>Langues1!C513</f>
        <v>Nombre d'unités</v>
      </c>
      <c r="F9" s="211" t="str">
        <f>Langues1!C514</f>
        <v>Coût / unité</v>
      </c>
      <c r="G9" s="211"/>
      <c r="H9" s="211"/>
      <c r="I9" s="211" t="str">
        <f>Langues1!C516</f>
        <v>Coûts de gestion (administration)</v>
      </c>
      <c r="J9" s="211" t="str">
        <f>Langues1!C517</f>
        <v>Coût des mesures d'accompagnement</v>
      </c>
      <c r="K9" s="280"/>
      <c r="L9" s="294" t="str">
        <f>Langues1!C401</f>
        <v>Total du financement</v>
      </c>
      <c r="M9" s="295" t="str">
        <f>Langues1!C363</f>
        <v>Prestations propres (travail) de l'organisme porteur</v>
      </c>
      <c r="N9" s="295" t="str">
        <f>Langues1!C369</f>
        <v>Prestations propres (espèces) de l'organisme porteur</v>
      </c>
      <c r="O9" s="295" t="str">
        <f>Langues1!C370</f>
        <v>Autres bailleurs de fonds (client cibles)</v>
      </c>
      <c r="P9" s="295" t="str">
        <f>Langues1!C371</f>
        <v>Autres fonds de soutien (sauf fédéral)</v>
      </c>
      <c r="Q9" s="549" t="str">
        <f>Langues1!C372</f>
        <v>Contribution de Prokilowatt TVA incluse</v>
      </c>
      <c r="R9" s="550"/>
      <c r="S9" s="203" t="str">
        <f>Langues1!C549</f>
        <v>Contrôle</v>
      </c>
      <c r="T9" s="174"/>
      <c r="W9" s="265"/>
      <c r="X9" s="304"/>
      <c r="Y9" s="277"/>
    </row>
    <row r="10" spans="1:28" s="140" customFormat="1" ht="23.25" customHeight="1" x14ac:dyDescent="0.3">
      <c r="A10" s="548" t="str">
        <f>Langues1!C518</f>
        <v>Gestion du programme</v>
      </c>
      <c r="B10" s="175"/>
      <c r="C10" s="536" t="str">
        <f>Langues1!C518</f>
        <v>Gestion du programme</v>
      </c>
      <c r="D10" s="536"/>
      <c r="E10" s="281"/>
      <c r="F10" s="192" t="str">
        <f>Langues1!C515</f>
        <v>[CHF / unité]</v>
      </c>
      <c r="G10" s="192"/>
      <c r="H10" s="192"/>
      <c r="I10" s="239" t="s">
        <v>1375</v>
      </c>
      <c r="J10" s="239" t="s">
        <v>1375</v>
      </c>
      <c r="L10" s="156" t="s">
        <v>1375</v>
      </c>
      <c r="M10" s="156" t="s">
        <v>1375</v>
      </c>
      <c r="N10" s="156" t="s">
        <v>1375</v>
      </c>
      <c r="O10" s="156" t="s">
        <v>1375</v>
      </c>
      <c r="P10" s="156" t="s">
        <v>1375</v>
      </c>
      <c r="Q10" s="156" t="s">
        <v>1375</v>
      </c>
      <c r="R10" s="156" t="s">
        <v>1380</v>
      </c>
      <c r="T10" s="174"/>
      <c r="U10" s="204" t="str">
        <f>Langues1!C355</f>
        <v>Coûts relatifs à la gestion du programme (dépense de l'organisme porteur du programme)</v>
      </c>
      <c r="W10" s="265"/>
    </row>
    <row r="11" spans="1:28" s="140" customFormat="1" ht="23.25" customHeight="1" x14ac:dyDescent="0.3">
      <c r="A11" s="548"/>
      <c r="B11" s="176"/>
      <c r="C11" s="531" t="str">
        <f>Langues1!C519</f>
        <v>Charges liées à l'administration générale du programme</v>
      </c>
      <c r="D11" s="532"/>
      <c r="E11" s="288"/>
      <c r="F11" s="194"/>
      <c r="G11" s="193"/>
      <c r="H11" s="193"/>
      <c r="I11" s="240">
        <f>E11*F11</f>
        <v>0</v>
      </c>
      <c r="J11" s="241"/>
      <c r="K11" s="173">
        <f>COUNTBLANK(E11:F11)</f>
        <v>2</v>
      </c>
      <c r="L11" s="177">
        <f>SUM(M11:Q11)</f>
        <v>0</v>
      </c>
      <c r="M11" s="178"/>
      <c r="N11" s="178"/>
      <c r="O11" s="178"/>
      <c r="P11" s="178"/>
      <c r="Q11" s="160"/>
      <c r="R11" s="514">
        <f>IF(Q41=0,,SUM(Q11:Q12)/$Q$41)</f>
        <v>0</v>
      </c>
      <c r="S11" s="200">
        <f>I11-L11</f>
        <v>0</v>
      </c>
      <c r="T11" s="173">
        <f>IF(S11=0,0,1)</f>
        <v>0</v>
      </c>
      <c r="U11" s="204" t="str">
        <f>Langues1!C550</f>
        <v>Coûts administratifs (général, conception du programme, etc)</v>
      </c>
      <c r="W11" s="265"/>
    </row>
    <row r="12" spans="1:28" s="140" customFormat="1" ht="23.25" customHeight="1" x14ac:dyDescent="0.3">
      <c r="A12" s="548"/>
      <c r="B12" s="176"/>
      <c r="C12" s="531" t="str">
        <f>Langues1!C520</f>
        <v>Charges administratives des dossiers</v>
      </c>
      <c r="D12" s="532"/>
      <c r="E12" s="289"/>
      <c r="F12" s="194"/>
      <c r="G12" s="193"/>
      <c r="H12" s="193"/>
      <c r="I12" s="240">
        <f>E12*F12</f>
        <v>0</v>
      </c>
      <c r="J12" s="242"/>
      <c r="K12" s="173">
        <f>COUNTBLANK(E12:F12)</f>
        <v>2</v>
      </c>
      <c r="L12" s="180">
        <f>SUM(M12:Q12)</f>
        <v>0</v>
      </c>
      <c r="M12" s="181"/>
      <c r="N12" s="181"/>
      <c r="O12" s="181"/>
      <c r="P12" s="181"/>
      <c r="Q12" s="151"/>
      <c r="R12" s="515"/>
      <c r="S12" s="201">
        <f>I12-L12</f>
        <v>0</v>
      </c>
      <c r="T12" s="173">
        <f>IF(S12=0,0,1)</f>
        <v>0</v>
      </c>
      <c r="U12" s="204" t="str">
        <f>Langues1!C551</f>
        <v>Coûts administratifs en relation avec les clients cibles (selon le nombre de fichiers, etc.)</v>
      </c>
      <c r="W12" s="265"/>
    </row>
    <row r="13" spans="1:28" s="140" customFormat="1" ht="18.75" customHeight="1" x14ac:dyDescent="0.3">
      <c r="B13" s="175"/>
      <c r="C13" s="536" t="str">
        <f>Langues1!C521</f>
        <v>Mesures d'accompagnement</v>
      </c>
      <c r="D13" s="536"/>
      <c r="E13" s="290"/>
      <c r="F13" s="173"/>
      <c r="G13" s="192"/>
      <c r="H13" s="192"/>
      <c r="I13" s="239"/>
      <c r="J13" s="239"/>
      <c r="K13" s="195"/>
      <c r="L13" s="196"/>
      <c r="M13" s="267"/>
      <c r="N13" s="267"/>
      <c r="O13" s="267"/>
      <c r="P13" s="267"/>
      <c r="Q13" s="268"/>
      <c r="R13" s="269"/>
      <c r="S13" s="199"/>
      <c r="T13" s="173">
        <f>IF(R11&gt;Ctrl!B13/100,1,0)</f>
        <v>0</v>
      </c>
      <c r="U13" s="330" t="str">
        <f>Langues1!C552</f>
        <v>La cellule R11 ne doit pas dépasser 10% du montant de la contribution ProKilowatt demandée (voir les conditions pour la soumission des projets et programmes en 2019, chapitre 2.2.1 Pg-1f).</v>
      </c>
      <c r="W13" s="265"/>
    </row>
    <row r="14" spans="1:28" s="140" customFormat="1" ht="19.5" customHeight="1" x14ac:dyDescent="0.3">
      <c r="A14" s="533" t="str">
        <f>Langues1!C521</f>
        <v>Mesures d'accompagnement</v>
      </c>
      <c r="B14" s="176"/>
      <c r="C14" s="542" t="str">
        <f>Langues1!C351</f>
        <v>Communication du programme</v>
      </c>
      <c r="D14" s="542"/>
      <c r="E14" s="289"/>
      <c r="F14" s="194"/>
      <c r="G14" s="193"/>
      <c r="H14" s="193"/>
      <c r="I14" s="243"/>
      <c r="J14" s="240">
        <f>E14*F14</f>
        <v>0</v>
      </c>
      <c r="K14" s="173">
        <f>COUNTBLANK(E14:F14)</f>
        <v>2</v>
      </c>
      <c r="L14" s="180">
        <f t="shared" ref="L14:L20" si="0">SUM(M14:Q14)</f>
        <v>0</v>
      </c>
      <c r="M14" s="181"/>
      <c r="N14" s="181"/>
      <c r="O14" s="181"/>
      <c r="P14" s="181"/>
      <c r="Q14" s="151"/>
      <c r="R14" s="514">
        <f>IF(Q41=0,,SUM(Q14:Q20)/$Q$41)</f>
        <v>0</v>
      </c>
      <c r="S14" s="202">
        <f>J14-L14</f>
        <v>0</v>
      </c>
      <c r="T14" s="173">
        <f t="shared" ref="T14:T20" si="1">IF(S14=0,0,1)</f>
        <v>0</v>
      </c>
      <c r="U14" s="330" t="str">
        <f>Langues1!C356</f>
        <v>Coûts relatifs aux mesures de marketing et de communication conformément au concept de communication</v>
      </c>
      <c r="W14" s="265"/>
    </row>
    <row r="15" spans="1:28" s="140" customFormat="1" ht="19.5" customHeight="1" x14ac:dyDescent="0.3">
      <c r="A15" s="534"/>
      <c r="B15" s="174"/>
      <c r="C15" s="531" t="str">
        <f>Langues1!C522</f>
        <v>Coûts de formation et de perfectionnement</v>
      </c>
      <c r="D15" s="532"/>
      <c r="E15" s="289"/>
      <c r="F15" s="194"/>
      <c r="G15" s="193"/>
      <c r="H15" s="193"/>
      <c r="I15" s="244"/>
      <c r="J15" s="240">
        <f t="shared" ref="J15:J20" si="2">F15*E15</f>
        <v>0</v>
      </c>
      <c r="K15" s="173"/>
      <c r="L15" s="180">
        <f t="shared" si="0"/>
        <v>0</v>
      </c>
      <c r="M15" s="179"/>
      <c r="N15" s="179"/>
      <c r="O15" s="179"/>
      <c r="P15" s="179"/>
      <c r="Q15" s="151"/>
      <c r="R15" s="515"/>
      <c r="S15" s="202">
        <f t="shared" ref="S15:S20" si="3">J15-L15</f>
        <v>0</v>
      </c>
      <c r="T15" s="173">
        <f t="shared" si="1"/>
        <v>0</v>
      </c>
      <c r="U15" s="330" t="str">
        <f>Langues1!C553</f>
        <v>Coûts de formation, de perfectionnement et de manifestations d'information</v>
      </c>
      <c r="W15" s="265"/>
      <c r="Y15" s="182"/>
    </row>
    <row r="16" spans="1:28" s="140" customFormat="1" ht="19.5" customHeight="1" x14ac:dyDescent="0.3">
      <c r="A16" s="534"/>
      <c r="B16" s="174"/>
      <c r="C16" s="531" t="str">
        <f>Langues1!C523</f>
        <v>Conseils</v>
      </c>
      <c r="D16" s="532"/>
      <c r="E16" s="289"/>
      <c r="F16" s="194"/>
      <c r="G16" s="193"/>
      <c r="H16" s="193"/>
      <c r="I16" s="244"/>
      <c r="J16" s="240">
        <f t="shared" si="2"/>
        <v>0</v>
      </c>
      <c r="K16" s="173"/>
      <c r="L16" s="180">
        <f t="shared" si="0"/>
        <v>0</v>
      </c>
      <c r="M16" s="179"/>
      <c r="N16" s="179"/>
      <c r="O16" s="179"/>
      <c r="P16" s="179"/>
      <c r="Q16" s="151"/>
      <c r="R16" s="515"/>
      <c r="S16" s="202">
        <f t="shared" si="3"/>
        <v>0</v>
      </c>
      <c r="T16" s="173">
        <f t="shared" si="1"/>
        <v>0</v>
      </c>
      <c r="U16" s="330" t="str">
        <f>Langues1!C554</f>
        <v>Coûts des services de conseil</v>
      </c>
      <c r="W16" s="265"/>
      <c r="Y16" s="182"/>
    </row>
    <row r="17" spans="1:26" s="140" customFormat="1" ht="19.5" customHeight="1" x14ac:dyDescent="0.3">
      <c r="A17" s="534"/>
      <c r="B17" s="174"/>
      <c r="C17" s="531" t="str">
        <f>Langues1!C524</f>
        <v>Mise à disposition des outils de saisie, etc.</v>
      </c>
      <c r="D17" s="532"/>
      <c r="E17" s="289"/>
      <c r="F17" s="194"/>
      <c r="G17" s="193"/>
      <c r="H17" s="193"/>
      <c r="I17" s="244"/>
      <c r="J17" s="240">
        <f t="shared" si="2"/>
        <v>0</v>
      </c>
      <c r="K17" s="173"/>
      <c r="L17" s="180">
        <f t="shared" si="0"/>
        <v>0</v>
      </c>
      <c r="M17" s="179"/>
      <c r="N17" s="179"/>
      <c r="O17" s="179"/>
      <c r="P17" s="179"/>
      <c r="Q17" s="151"/>
      <c r="R17" s="515"/>
      <c r="S17" s="202">
        <f t="shared" si="3"/>
        <v>0</v>
      </c>
      <c r="T17" s="173">
        <f>IF(S17=0,0,1)</f>
        <v>0</v>
      </c>
      <c r="U17" s="330" t="str">
        <f>Langues1!C555</f>
        <v>Outils nécessaires à la mise en œuvre du programme (plates-formes d'entrée, formulaires d'inscription, etc)</v>
      </c>
      <c r="W17" s="265"/>
      <c r="Y17" s="182"/>
    </row>
    <row r="18" spans="1:26" s="140" customFormat="1" ht="19.5" customHeight="1" x14ac:dyDescent="0.3">
      <c r="A18" s="534"/>
      <c r="B18" s="174"/>
      <c r="C18" s="531" t="str">
        <f>Langues1!C525</f>
        <v>Monitoring</v>
      </c>
      <c r="D18" s="532"/>
      <c r="E18" s="289"/>
      <c r="F18" s="194"/>
      <c r="G18" s="193"/>
      <c r="H18" s="193"/>
      <c r="I18" s="244"/>
      <c r="J18" s="240">
        <f t="shared" si="2"/>
        <v>0</v>
      </c>
      <c r="K18" s="173"/>
      <c r="L18" s="180">
        <f t="shared" si="0"/>
        <v>0</v>
      </c>
      <c r="M18" s="179"/>
      <c r="N18" s="179"/>
      <c r="O18" s="179"/>
      <c r="P18" s="179"/>
      <c r="Q18" s="151"/>
      <c r="R18" s="515"/>
      <c r="S18" s="202">
        <f t="shared" si="3"/>
        <v>0</v>
      </c>
      <c r="T18" s="173">
        <f>IF(S18=0,0,1)</f>
        <v>0</v>
      </c>
      <c r="U18" s="330" t="str">
        <f>Langues1!C556</f>
        <v>Coûts des mesures de contrôle (monitoring)</v>
      </c>
      <c r="W18" s="265"/>
      <c r="Y18" s="182"/>
    </row>
    <row r="19" spans="1:26" s="140" customFormat="1" ht="19.5" customHeight="1" x14ac:dyDescent="0.3">
      <c r="A19" s="534"/>
      <c r="B19" s="174"/>
      <c r="C19" s="543" t="str">
        <f>Langues1!C526</f>
        <v>Mesures d'accompagnement 6</v>
      </c>
      <c r="D19" s="544"/>
      <c r="E19" s="289"/>
      <c r="F19" s="194"/>
      <c r="G19" s="193"/>
      <c r="H19" s="193"/>
      <c r="I19" s="244"/>
      <c r="J19" s="240">
        <f t="shared" si="2"/>
        <v>0</v>
      </c>
      <c r="K19" s="173"/>
      <c r="L19" s="180">
        <f t="shared" si="0"/>
        <v>0</v>
      </c>
      <c r="M19" s="179"/>
      <c r="N19" s="179"/>
      <c r="O19" s="179"/>
      <c r="P19" s="179"/>
      <c r="Q19" s="151"/>
      <c r="R19" s="515"/>
      <c r="S19" s="202">
        <f t="shared" si="3"/>
        <v>0</v>
      </c>
      <c r="T19" s="173">
        <f>IF(S19=0,0,1)</f>
        <v>0</v>
      </c>
      <c r="U19" s="330" t="str">
        <f>Langues1!C557</f>
        <v>Coûts pour les mesures d'accompagnement supplémentaires</v>
      </c>
      <c r="W19" s="265"/>
      <c r="Y19" s="182"/>
    </row>
    <row r="20" spans="1:26" s="140" customFormat="1" ht="19.5" customHeight="1" thickBot="1" x14ac:dyDescent="0.35">
      <c r="A20" s="535"/>
      <c r="B20" s="174"/>
      <c r="C20" s="543" t="str">
        <f>Langues1!C527</f>
        <v>Mesures d'accompagnement 7</v>
      </c>
      <c r="D20" s="544"/>
      <c r="E20" s="289"/>
      <c r="F20" s="194"/>
      <c r="G20" s="193"/>
      <c r="H20" s="193"/>
      <c r="I20" s="245"/>
      <c r="J20" s="240">
        <f t="shared" si="2"/>
        <v>0</v>
      </c>
      <c r="K20" s="173"/>
      <c r="L20" s="180">
        <f t="shared" si="0"/>
        <v>0</v>
      </c>
      <c r="M20" s="181"/>
      <c r="N20" s="181"/>
      <c r="O20" s="181"/>
      <c r="P20" s="181"/>
      <c r="Q20" s="151"/>
      <c r="R20" s="515"/>
      <c r="S20" s="202">
        <f t="shared" si="3"/>
        <v>0</v>
      </c>
      <c r="T20" s="173">
        <f t="shared" si="1"/>
        <v>0</v>
      </c>
      <c r="U20" s="330" t="str">
        <f>Langues1!C557</f>
        <v>Coûts pour les mesures d'accompagnement supplémentaires</v>
      </c>
      <c r="W20" s="265"/>
      <c r="Y20" s="183"/>
      <c r="Z20" s="183"/>
    </row>
    <row r="21" spans="1:26" s="140" customFormat="1" ht="20.149999999999999" customHeight="1" thickBot="1" x14ac:dyDescent="0.35">
      <c r="E21" s="291"/>
      <c r="H21" s="159" t="s">
        <v>1379</v>
      </c>
      <c r="I21" s="246">
        <f>SUM(I11:I12)</f>
        <v>0</v>
      </c>
      <c r="J21" s="246">
        <f>SUM(J14:J20)</f>
        <v>0</v>
      </c>
      <c r="K21" s="185" t="e">
        <f>SUM(I21:J21)/$I$41</f>
        <v>#DIV/0!</v>
      </c>
      <c r="L21" s="180">
        <f t="shared" ref="L21:Q21" si="4">SUM(L11:L20)</f>
        <v>0</v>
      </c>
      <c r="M21" s="180">
        <f t="shared" si="4"/>
        <v>0</v>
      </c>
      <c r="N21" s="180">
        <f t="shared" si="4"/>
        <v>0</v>
      </c>
      <c r="O21" s="180">
        <f t="shared" si="4"/>
        <v>0</v>
      </c>
      <c r="P21" s="180">
        <f t="shared" si="4"/>
        <v>0</v>
      </c>
      <c r="Q21" s="234">
        <f t="shared" si="4"/>
        <v>0</v>
      </c>
      <c r="R21" s="235">
        <f>IF(Q$41=0,,Q21/Q$41)</f>
        <v>0</v>
      </c>
      <c r="S21" s="186"/>
      <c r="T21" s="173">
        <f>IF(R21&gt;Ctrl!B14/100,1,0)</f>
        <v>0</v>
      </c>
      <c r="U21" s="330" t="str">
        <f>IF(Ctrl!F4=1,Langues1!C600,Langues1!C558)</f>
        <v>Les cellules R14 et R21 ne doivent pas dépasser 30% du montant de la contribution ProKilowatt demandée (voir les conditions pour la soumission des projets et programmes en 2019, chapitre 2.2.1 Pg-1f).</v>
      </c>
      <c r="W21" s="265"/>
      <c r="Z21" s="140" t="str">
        <f>IF(Q21&lt;150000,"A",IF(Q21&gt;1000000,"A","B"))</f>
        <v>A</v>
      </c>
    </row>
    <row r="22" spans="1:26" s="140" customFormat="1" ht="20.149999999999999" customHeight="1" x14ac:dyDescent="0.3">
      <c r="E22" s="291"/>
      <c r="I22" s="233" t="e">
        <f>I21/$L$38</f>
        <v>#DIV/0!</v>
      </c>
      <c r="J22" s="233" t="e">
        <f>J21/$L$38</f>
        <v>#DIV/0!</v>
      </c>
      <c r="K22" s="168"/>
      <c r="L22" s="141" t="e">
        <f>L21/($L$21+$L$36)</f>
        <v>#DIV/0!</v>
      </c>
      <c r="M22" s="141" t="e">
        <f t="shared" ref="M22:P22" si="5">M21/$L$21</f>
        <v>#DIV/0!</v>
      </c>
      <c r="N22" s="141" t="e">
        <f t="shared" si="5"/>
        <v>#DIV/0!</v>
      </c>
      <c r="O22" s="141" t="e">
        <f t="shared" si="5"/>
        <v>#DIV/0!</v>
      </c>
      <c r="P22" s="141" t="e">
        <f t="shared" si="5"/>
        <v>#DIV/0!</v>
      </c>
      <c r="Q22" s="141" t="e">
        <f>Q21/$L$21</f>
        <v>#DIV/0!</v>
      </c>
      <c r="R22" s="168"/>
      <c r="S22" s="168"/>
      <c r="T22" s="170"/>
      <c r="U22" s="204"/>
      <c r="W22" s="265"/>
    </row>
    <row r="23" spans="1:26" s="140" customFormat="1" ht="20.149999999999999" customHeight="1" x14ac:dyDescent="0.3">
      <c r="E23" s="291"/>
      <c r="I23" s="516" t="e">
        <f>SUM(I21:J21)/(I41-O38)</f>
        <v>#DIV/0!</v>
      </c>
      <c r="J23" s="516"/>
      <c r="K23" s="168"/>
      <c r="R23" s="168"/>
      <c r="S23" s="168"/>
      <c r="T23" s="170"/>
      <c r="U23" s="204"/>
      <c r="W23" s="265"/>
    </row>
    <row r="24" spans="1:26" s="140" customFormat="1" x14ac:dyDescent="0.3">
      <c r="E24" s="291"/>
      <c r="U24" s="204"/>
      <c r="W24" s="265"/>
    </row>
    <row r="25" spans="1:26" s="140" customFormat="1" ht="62.15" x14ac:dyDescent="0.3">
      <c r="B25" s="173"/>
      <c r="C25" s="536" t="str">
        <f>Langues1!C360</f>
        <v>Centre de charge</v>
      </c>
      <c r="D25" s="536"/>
      <c r="E25" s="211" t="str">
        <f>E9</f>
        <v>Nombre d'unités</v>
      </c>
      <c r="F25" s="211" t="str">
        <f>Langues1!C584</f>
        <v>Contribution ProKilowatt  prévue (cf remarque U27-31)</v>
      </c>
      <c r="G25" s="294" t="str">
        <f>Langues1!C528</f>
        <v>Contributions Prokilowatt / unité</v>
      </c>
      <c r="H25" s="211" t="str">
        <f>Langues1!C529</f>
        <v>Total des coûts d'investissement / unité</v>
      </c>
      <c r="I25" s="296" t="str">
        <f>Langues1!C528</f>
        <v>Contributions Prokilowatt / unité</v>
      </c>
      <c r="J25" s="297" t="str">
        <f>Langues1!C366</f>
        <v>Coûts dépendants de la mise en œuvre</v>
      </c>
      <c r="K25" s="280"/>
      <c r="L25" s="294" t="str">
        <f>Langues1!C401</f>
        <v>Total du financement</v>
      </c>
      <c r="M25" s="295" t="str">
        <f>Langues1!C363</f>
        <v>Prestations propres (travail) de l'organisme porteur</v>
      </c>
      <c r="N25" s="295" t="str">
        <f>Langues1!C369</f>
        <v>Prestations propres (espèces) de l'organisme porteur</v>
      </c>
      <c r="O25" s="295" t="str">
        <f>Langues1!C370</f>
        <v>Autres bailleurs de fonds (client cibles)</v>
      </c>
      <c r="P25" s="295"/>
      <c r="Q25" s="295" t="str">
        <f>Langues1!C372</f>
        <v>Contribution de Prokilowatt TVA incluse</v>
      </c>
      <c r="R25" s="187"/>
      <c r="S25" s="203" t="str">
        <f>S9</f>
        <v>Contrôle</v>
      </c>
      <c r="T25" s="174"/>
      <c r="U25" s="517"/>
      <c r="W25" s="265"/>
    </row>
    <row r="26" spans="1:26" s="140" customFormat="1" ht="18.75" customHeight="1" x14ac:dyDescent="0.3">
      <c r="B26" s="173"/>
      <c r="C26" s="305" t="str">
        <f>Langues1!C531</f>
        <v>Mesures de soutien</v>
      </c>
      <c r="D26" s="328" t="str">
        <f>Langues1!C641</f>
        <v>Type de technologie</v>
      </c>
      <c r="E26" s="280"/>
      <c r="F26" s="280" t="str">
        <f>Langues1!C515</f>
        <v>[CHF / unité]</v>
      </c>
      <c r="G26" s="280" t="str">
        <f>Langues1!C515</f>
        <v>[CHF / unité]</v>
      </c>
      <c r="H26" s="280" t="str">
        <f>Langues1!C515</f>
        <v>[CHF / unité]</v>
      </c>
      <c r="I26" s="280" t="s">
        <v>1380</v>
      </c>
      <c r="J26" s="298" t="s">
        <v>1375</v>
      </c>
      <c r="K26" s="173"/>
      <c r="L26" s="280" t="s">
        <v>1375</v>
      </c>
      <c r="M26" s="280" t="s">
        <v>1375</v>
      </c>
      <c r="N26" s="280" t="s">
        <v>1375</v>
      </c>
      <c r="O26" s="280" t="s">
        <v>1375</v>
      </c>
      <c r="P26" s="280"/>
      <c r="Q26" s="280" t="s">
        <v>1375</v>
      </c>
      <c r="R26" s="168"/>
      <c r="S26" s="174"/>
      <c r="T26" s="157"/>
      <c r="U26" s="517"/>
      <c r="W26" s="265"/>
      <c r="Y26" s="188"/>
    </row>
    <row r="27" spans="1:26" s="140" customFormat="1" ht="25.5" customHeight="1" x14ac:dyDescent="0.3">
      <c r="A27" s="533" t="str">
        <f>Langues1!C542</f>
        <v>Mesures de soutien des clients cibles</v>
      </c>
      <c r="B27" s="176"/>
      <c r="C27" s="333" t="str">
        <f>Langues1!C532</f>
        <v>Ecrire le titre de la mesure de soutien 1</v>
      </c>
      <c r="D27" s="335"/>
      <c r="E27" s="371"/>
      <c r="F27" s="307">
        <f>IF(E27&gt;0,0.3*H27,0)</f>
        <v>0</v>
      </c>
      <c r="G27" s="194"/>
      <c r="H27" s="194"/>
      <c r="I27" s="306" t="str">
        <f t="shared" ref="I27:I35" si="6">IF(H27&gt;0,G27/H27,$R$3)</f>
        <v>-</v>
      </c>
      <c r="J27" s="307">
        <f>E27*H27</f>
        <v>0</v>
      </c>
      <c r="K27" s="173">
        <f>IF(OR(G27&gt;F27,G27&gt;100000),1,0)</f>
        <v>0</v>
      </c>
      <c r="L27" s="246">
        <f t="shared" ref="L27:L35" si="7">SUM(M27:Q27)</f>
        <v>0</v>
      </c>
      <c r="M27" s="181"/>
      <c r="N27" s="158"/>
      <c r="O27" s="337">
        <f>J27-Q27-N27-M27</f>
        <v>0</v>
      </c>
      <c r="P27" s="377"/>
      <c r="Q27" s="180">
        <f t="shared" ref="Q27:Q35" si="8">E27*G27</f>
        <v>0</v>
      </c>
      <c r="R27" s="168"/>
      <c r="S27" s="189">
        <f>IF(H27&gt;150000,1,J27-L27)</f>
        <v>0</v>
      </c>
      <c r="T27" s="173">
        <f t="shared" ref="T27:T35" si="9">IF(S27=0,0,1)</f>
        <v>0</v>
      </c>
      <c r="U27" s="517" t="str">
        <f>Langues1!C689</f>
        <v>Coûts liés à la mise en œuvre des mesures 1 à 8 (obligation de les décrire dans le concept du programme au chapitre 2 Mesures). Les mesures doivent être identifiées par équipement/installation.</v>
      </c>
      <c r="V27" s="529" t="str">
        <f>IF(AND(X8=7,SUM(K27:K34)&gt;0),Langues1!C602,"")</f>
        <v/>
      </c>
      <c r="W27" s="265"/>
      <c r="X27" s="229">
        <f>'4'!X19</f>
        <v>0</v>
      </c>
    </row>
    <row r="28" spans="1:26" s="140" customFormat="1" ht="24.9" x14ac:dyDescent="0.3">
      <c r="A28" s="534"/>
      <c r="B28" s="175"/>
      <c r="C28" s="333" t="str">
        <f>Langues1!C533</f>
        <v>Ecrire le titre de la mesure de soutien 2</v>
      </c>
      <c r="D28" s="335"/>
      <c r="E28" s="371"/>
      <c r="F28" s="307">
        <f t="shared" ref="F28:F34" si="10">IF(E28&gt;0,0.3*H28,0)</f>
        <v>0</v>
      </c>
      <c r="G28" s="194"/>
      <c r="H28" s="194"/>
      <c r="I28" s="306" t="str">
        <f t="shared" si="6"/>
        <v>-</v>
      </c>
      <c r="J28" s="307">
        <f t="shared" ref="J28:J35" si="11">E28*H28</f>
        <v>0</v>
      </c>
      <c r="K28" s="173">
        <f t="shared" ref="K28:K34" si="12">IF(OR(G28&gt;F28,G28&gt;100000),1,0)</f>
        <v>0</v>
      </c>
      <c r="L28" s="246">
        <f t="shared" si="7"/>
        <v>0</v>
      </c>
      <c r="M28" s="181"/>
      <c r="N28" s="158"/>
      <c r="O28" s="337">
        <f t="shared" ref="O28:O35" si="13">J28-Q28-N28-M28</f>
        <v>0</v>
      </c>
      <c r="P28" s="377"/>
      <c r="Q28" s="234">
        <f t="shared" si="8"/>
        <v>0</v>
      </c>
      <c r="R28" s="266"/>
      <c r="S28" s="189">
        <f t="shared" ref="S28:S34" si="14">IF(H28&gt;150000,1,J28-L28)</f>
        <v>0</v>
      </c>
      <c r="T28" s="173">
        <f t="shared" si="9"/>
        <v>0</v>
      </c>
      <c r="U28" s="517"/>
      <c r="V28" s="529"/>
      <c r="W28" s="265"/>
      <c r="X28" s="229">
        <f>'4'!X20</f>
        <v>0</v>
      </c>
      <c r="Z28" s="183"/>
    </row>
    <row r="29" spans="1:26" s="140" customFormat="1" ht="24.9" x14ac:dyDescent="0.3">
      <c r="A29" s="534"/>
      <c r="B29" s="175"/>
      <c r="C29" s="333" t="str">
        <f>Langues1!C534</f>
        <v>Ecrire le titre de la mesure de soutien 3</v>
      </c>
      <c r="D29" s="335"/>
      <c r="E29" s="371"/>
      <c r="F29" s="307">
        <f t="shared" si="10"/>
        <v>0</v>
      </c>
      <c r="G29" s="194"/>
      <c r="H29" s="194"/>
      <c r="I29" s="306" t="str">
        <f t="shared" si="6"/>
        <v>-</v>
      </c>
      <c r="J29" s="307">
        <f t="shared" si="11"/>
        <v>0</v>
      </c>
      <c r="K29" s="173">
        <f t="shared" si="12"/>
        <v>0</v>
      </c>
      <c r="L29" s="246">
        <f t="shared" si="7"/>
        <v>0</v>
      </c>
      <c r="M29" s="181"/>
      <c r="N29" s="158"/>
      <c r="O29" s="337">
        <f t="shared" si="13"/>
        <v>0</v>
      </c>
      <c r="P29" s="377"/>
      <c r="Q29" s="234">
        <f t="shared" si="8"/>
        <v>0</v>
      </c>
      <c r="R29" s="266"/>
      <c r="S29" s="189">
        <f t="shared" si="14"/>
        <v>0</v>
      </c>
      <c r="T29" s="173">
        <f t="shared" si="9"/>
        <v>0</v>
      </c>
      <c r="U29" s="517"/>
      <c r="V29" s="529"/>
      <c r="W29" s="265"/>
      <c r="X29" s="229">
        <f>'4'!X21</f>
        <v>0</v>
      </c>
      <c r="Z29" s="183"/>
    </row>
    <row r="30" spans="1:26" s="140" customFormat="1" ht="24.9" x14ac:dyDescent="0.3">
      <c r="A30" s="534"/>
      <c r="B30" s="175"/>
      <c r="C30" s="333" t="str">
        <f>Langues1!C535</f>
        <v>Ecrire le titre de la mesure de soutien 4</v>
      </c>
      <c r="D30" s="335"/>
      <c r="E30" s="371"/>
      <c r="F30" s="307">
        <f t="shared" si="10"/>
        <v>0</v>
      </c>
      <c r="G30" s="194"/>
      <c r="H30" s="194"/>
      <c r="I30" s="306" t="str">
        <f t="shared" si="6"/>
        <v>-</v>
      </c>
      <c r="J30" s="307">
        <f t="shared" si="11"/>
        <v>0</v>
      </c>
      <c r="K30" s="173">
        <f t="shared" si="12"/>
        <v>0</v>
      </c>
      <c r="L30" s="246">
        <f t="shared" si="7"/>
        <v>0</v>
      </c>
      <c r="M30" s="181"/>
      <c r="N30" s="158"/>
      <c r="O30" s="337">
        <f t="shared" si="13"/>
        <v>0</v>
      </c>
      <c r="P30" s="377"/>
      <c r="Q30" s="234">
        <f t="shared" si="8"/>
        <v>0</v>
      </c>
      <c r="R30" s="266"/>
      <c r="S30" s="189">
        <f t="shared" si="14"/>
        <v>0</v>
      </c>
      <c r="T30" s="173">
        <f t="shared" si="9"/>
        <v>0</v>
      </c>
      <c r="U30" s="517"/>
      <c r="V30" s="529"/>
      <c r="W30" s="265"/>
      <c r="X30" s="229">
        <f>'4'!X22</f>
        <v>0</v>
      </c>
      <c r="Z30" s="183"/>
    </row>
    <row r="31" spans="1:26" s="140" customFormat="1" ht="24.9" x14ac:dyDescent="0.3">
      <c r="A31" s="534"/>
      <c r="B31" s="175"/>
      <c r="C31" s="333" t="str">
        <f>Langues1!C536</f>
        <v>Ecrire le titre de la mesure de soutien 5</v>
      </c>
      <c r="D31" s="335"/>
      <c r="E31" s="371"/>
      <c r="F31" s="307">
        <f t="shared" si="10"/>
        <v>0</v>
      </c>
      <c r="G31" s="194"/>
      <c r="H31" s="194"/>
      <c r="I31" s="306" t="str">
        <f t="shared" si="6"/>
        <v>-</v>
      </c>
      <c r="J31" s="307">
        <f t="shared" si="11"/>
        <v>0</v>
      </c>
      <c r="K31" s="173">
        <f t="shared" si="12"/>
        <v>0</v>
      </c>
      <c r="L31" s="246">
        <f t="shared" si="7"/>
        <v>0</v>
      </c>
      <c r="M31" s="181"/>
      <c r="N31" s="158"/>
      <c r="O31" s="337">
        <f t="shared" si="13"/>
        <v>0</v>
      </c>
      <c r="P31" s="377"/>
      <c r="Q31" s="234">
        <f t="shared" si="8"/>
        <v>0</v>
      </c>
      <c r="R31" s="266"/>
      <c r="S31" s="189">
        <f t="shared" si="14"/>
        <v>0</v>
      </c>
      <c r="T31" s="173">
        <f t="shared" si="9"/>
        <v>0</v>
      </c>
      <c r="U31" s="518" t="str">
        <f>Langues1!C690</f>
        <v xml:space="preserve">
La contribution de soutien ProKilowatt peut atteindre au maximum 30 % de l'investissement total (voir les conditions pour la soumission des programmes en 2019 chap. 2.2.1 Pg-1f).
Une contribution financière maximum de CHF 45 000 par client final peut être accordée.
Les coûts d’investissement par mesure soumise ne peuvent pas dépasser CHF 150 000.</v>
      </c>
      <c r="V31" s="529"/>
      <c r="W31" s="265"/>
      <c r="X31" s="229">
        <f>'4'!X23</f>
        <v>0</v>
      </c>
      <c r="Z31" s="183"/>
    </row>
    <row r="32" spans="1:26" s="140" customFormat="1" ht="24.9" x14ac:dyDescent="0.3">
      <c r="A32" s="534"/>
      <c r="B32" s="175"/>
      <c r="C32" s="333" t="str">
        <f>Langues1!C537</f>
        <v>Ecrire le titre de la mesure de soutien 6</v>
      </c>
      <c r="D32" s="335"/>
      <c r="E32" s="371"/>
      <c r="F32" s="307">
        <f t="shared" si="10"/>
        <v>0</v>
      </c>
      <c r="G32" s="194"/>
      <c r="H32" s="194"/>
      <c r="I32" s="306" t="str">
        <f t="shared" si="6"/>
        <v>-</v>
      </c>
      <c r="J32" s="307">
        <f t="shared" si="11"/>
        <v>0</v>
      </c>
      <c r="K32" s="173">
        <f t="shared" si="12"/>
        <v>0</v>
      </c>
      <c r="L32" s="246">
        <f t="shared" si="7"/>
        <v>0</v>
      </c>
      <c r="M32" s="181"/>
      <c r="N32" s="158"/>
      <c r="O32" s="337">
        <f t="shared" si="13"/>
        <v>0</v>
      </c>
      <c r="P32" s="377"/>
      <c r="Q32" s="234">
        <f t="shared" si="8"/>
        <v>0</v>
      </c>
      <c r="R32" s="266"/>
      <c r="S32" s="189">
        <f t="shared" si="14"/>
        <v>0</v>
      </c>
      <c r="T32" s="173">
        <f t="shared" si="9"/>
        <v>0</v>
      </c>
      <c r="U32" s="518"/>
      <c r="V32" s="529"/>
      <c r="W32" s="265"/>
      <c r="X32" s="229">
        <f>'4'!X24</f>
        <v>0</v>
      </c>
      <c r="Z32" s="183"/>
    </row>
    <row r="33" spans="1:26" s="140" customFormat="1" ht="24.9" x14ac:dyDescent="0.3">
      <c r="A33" s="534"/>
      <c r="B33" s="174"/>
      <c r="C33" s="333" t="str">
        <f>Langues1!C538</f>
        <v>Ecrire le titre de la mesure de soutien 7</v>
      </c>
      <c r="D33" s="335"/>
      <c r="E33" s="371"/>
      <c r="F33" s="307">
        <f t="shared" si="10"/>
        <v>0</v>
      </c>
      <c r="G33" s="194"/>
      <c r="H33" s="194"/>
      <c r="I33" s="306" t="str">
        <f t="shared" si="6"/>
        <v>-</v>
      </c>
      <c r="J33" s="307">
        <f t="shared" si="11"/>
        <v>0</v>
      </c>
      <c r="K33" s="173">
        <f t="shared" si="12"/>
        <v>0</v>
      </c>
      <c r="L33" s="246">
        <f t="shared" si="7"/>
        <v>0</v>
      </c>
      <c r="M33" s="181"/>
      <c r="N33" s="158"/>
      <c r="O33" s="337">
        <f t="shared" si="13"/>
        <v>0</v>
      </c>
      <c r="P33" s="377"/>
      <c r="Q33" s="234">
        <f t="shared" si="8"/>
        <v>0</v>
      </c>
      <c r="R33" s="266"/>
      <c r="S33" s="189">
        <f t="shared" si="14"/>
        <v>0</v>
      </c>
      <c r="T33" s="173">
        <f t="shared" si="9"/>
        <v>0</v>
      </c>
      <c r="U33" s="518"/>
      <c r="V33" s="529"/>
      <c r="W33" s="265"/>
      <c r="X33" s="229">
        <f>'4'!X25</f>
        <v>0</v>
      </c>
      <c r="Z33" s="183"/>
    </row>
    <row r="34" spans="1:26" s="140" customFormat="1" ht="24.9" x14ac:dyDescent="0.3">
      <c r="A34" s="534"/>
      <c r="B34" s="174"/>
      <c r="C34" s="333" t="str">
        <f>Langues1!C539</f>
        <v>Ecrire le titre de la mesure de soutien 8</v>
      </c>
      <c r="D34" s="335"/>
      <c r="E34" s="371"/>
      <c r="F34" s="307">
        <f t="shared" si="10"/>
        <v>0</v>
      </c>
      <c r="G34" s="194"/>
      <c r="H34" s="194"/>
      <c r="I34" s="306" t="str">
        <f t="shared" si="6"/>
        <v>-</v>
      </c>
      <c r="J34" s="307">
        <f t="shared" si="11"/>
        <v>0</v>
      </c>
      <c r="K34" s="173">
        <f t="shared" si="12"/>
        <v>0</v>
      </c>
      <c r="L34" s="246">
        <f t="shared" si="7"/>
        <v>0</v>
      </c>
      <c r="M34" s="181"/>
      <c r="N34" s="158"/>
      <c r="O34" s="337">
        <f t="shared" si="13"/>
        <v>0</v>
      </c>
      <c r="P34" s="377"/>
      <c r="Q34" s="234">
        <f t="shared" si="8"/>
        <v>0</v>
      </c>
      <c r="R34" s="266"/>
      <c r="S34" s="189">
        <f t="shared" si="14"/>
        <v>0</v>
      </c>
      <c r="T34" s="173">
        <f t="shared" si="9"/>
        <v>0</v>
      </c>
      <c r="U34" s="518"/>
      <c r="V34" s="529"/>
      <c r="W34" s="265"/>
      <c r="X34" s="229">
        <f>'4'!X26</f>
        <v>0</v>
      </c>
      <c r="Z34" s="183"/>
    </row>
    <row r="35" spans="1:26" s="140" customFormat="1" ht="20.149999999999999" customHeight="1" thickBot="1" x14ac:dyDescent="0.35">
      <c r="A35" s="535"/>
      <c r="B35" s="174"/>
      <c r="C35" s="531" t="str">
        <f>Langues1!C541</f>
        <v>Analyse</v>
      </c>
      <c r="D35" s="532"/>
      <c r="E35" s="371"/>
      <c r="F35" s="307">
        <f>H35*0.5</f>
        <v>0</v>
      </c>
      <c r="G35" s="194"/>
      <c r="H35" s="194"/>
      <c r="I35" s="306" t="str">
        <f t="shared" si="6"/>
        <v>-</v>
      </c>
      <c r="J35" s="307">
        <f t="shared" si="11"/>
        <v>0</v>
      </c>
      <c r="K35" s="173">
        <f t="shared" ref="K35" si="15">IF(G35&gt;F35,1,0)</f>
        <v>0</v>
      </c>
      <c r="L35" s="246">
        <f t="shared" si="7"/>
        <v>0</v>
      </c>
      <c r="M35" s="181"/>
      <c r="N35" s="158"/>
      <c r="O35" s="337">
        <f t="shared" si="13"/>
        <v>0</v>
      </c>
      <c r="P35" s="174"/>
      <c r="Q35" s="234">
        <f t="shared" si="8"/>
        <v>0</v>
      </c>
      <c r="R35" s="266">
        <f>IF(Q36=0,,Q35/Q36)</f>
        <v>0</v>
      </c>
      <c r="S35" s="189">
        <f>IF(R35&gt;Ctrl!B16/100,1,J35-L35)</f>
        <v>0</v>
      </c>
      <c r="T35" s="173">
        <f t="shared" si="9"/>
        <v>0</v>
      </c>
      <c r="U35" s="522" t="str">
        <f>Langues1!C559</f>
        <v>Coûts des analyses (le cas échéant, description obligatoire au chap.3 Mesures dans le concept de programme)
La cellule Q35 ne doit pas dépasser 10% de la cellule Q36 (voir les conditions pour la soumission des projets et programmes en 2019, chapitre 2.2.1 Pg-1f).
ProKilowatt subventionne au maximum 50% des coûts d’une analyse.</v>
      </c>
      <c r="W35" s="265"/>
      <c r="Y35" s="183"/>
      <c r="Z35" s="183"/>
    </row>
    <row r="36" spans="1:26" s="140" customFormat="1" ht="20.149999999999999" customHeight="1" thickBot="1" x14ac:dyDescent="0.35">
      <c r="E36" s="291"/>
      <c r="F36" s="212" t="str">
        <f>Langues1!C543</f>
        <v>Moyennes pondérées</v>
      </c>
      <c r="G36" s="190" t="e">
        <f>SUMPRODUCT(E27:E35,G27:G35)/SUM(E27:E35)</f>
        <v>#DIV/0!</v>
      </c>
      <c r="H36" s="236" t="e">
        <f>SUMPRODUCT(E27:E35,H27:H35)/SUM(E27:E35)</f>
        <v>#DIV/0!</v>
      </c>
      <c r="I36" s="308" t="s">
        <v>1379</v>
      </c>
      <c r="J36" s="246">
        <f>SUM(J27:J35)</f>
        <v>0</v>
      </c>
      <c r="K36" s="191" t="e">
        <f>SUM(J36)/$I$41</f>
        <v>#DIV/0!</v>
      </c>
      <c r="L36" s="246">
        <f>SUM(L27:L35)</f>
        <v>0</v>
      </c>
      <c r="M36" s="180">
        <f>SUM(M27:M35)</f>
        <v>0</v>
      </c>
      <c r="N36" s="180">
        <f>SUM(N27:N35)</f>
        <v>0</v>
      </c>
      <c r="O36" s="336">
        <f>SUM(O27:O35)</f>
        <v>0</v>
      </c>
      <c r="P36" s="180"/>
      <c r="Q36" s="234">
        <f>SUM(Q27:Q35)</f>
        <v>0</v>
      </c>
      <c r="R36" s="235">
        <f>IF(Q$41=0,,Q36/Q$41)</f>
        <v>0</v>
      </c>
      <c r="U36" s="522"/>
      <c r="W36" s="265"/>
      <c r="Z36" s="140" t="str">
        <f>IF(Q36&lt;150000,"A",IF(Q36&gt;1000000,"A","B"))</f>
        <v>A</v>
      </c>
    </row>
    <row r="37" spans="1:26" s="140" customFormat="1" ht="20.149999999999999" customHeight="1" thickBot="1" x14ac:dyDescent="0.35">
      <c r="E37" s="291"/>
      <c r="H37" s="184" t="str">
        <f>Langues1!C543</f>
        <v>Moyennes pondérées</v>
      </c>
      <c r="I37" s="235" t="e">
        <f>G36/H36</f>
        <v>#DIV/0!</v>
      </c>
      <c r="J37" s="208" t="e">
        <f>J36/$L$38</f>
        <v>#DIV/0!</v>
      </c>
      <c r="K37" s="168"/>
      <c r="L37" s="207" t="e">
        <f>L36/($L$21+$L$36)</f>
        <v>#DIV/0!</v>
      </c>
      <c r="M37" s="207" t="e">
        <f>M36/$L$36</f>
        <v>#DIV/0!</v>
      </c>
      <c r="N37" s="207" t="e">
        <f>N36/$L$36</f>
        <v>#DIV/0!</v>
      </c>
      <c r="O37" s="207" t="e">
        <f>O36/$L$36</f>
        <v>#DIV/0!</v>
      </c>
      <c r="P37" s="207">
        <v>0</v>
      </c>
      <c r="Q37" s="207" t="e">
        <f>Q36/$L$36</f>
        <v>#DIV/0!</v>
      </c>
      <c r="R37" s="168"/>
      <c r="S37" s="170"/>
      <c r="T37" s="173">
        <f>IF(R36&lt;Ctrl!B15/100,1,0)</f>
        <v>1</v>
      </c>
      <c r="U37" s="530" t="str">
        <f>IF(Ctrl!F4=1,Langues1!C691,Langues1!C692)</f>
        <v>La cellule R36 doit dépasser 70% du montant de la contribution ProKilowatt demandée (voir les conditions pour la soumission des projets et programmes en 2019, chapitre 2.2.1 Pg-1f).</v>
      </c>
      <c r="W37" s="265"/>
    </row>
    <row r="38" spans="1:26" s="140" customFormat="1" ht="20.149999999999999" customHeight="1" x14ac:dyDescent="0.3">
      <c r="E38" s="291"/>
      <c r="I38" s="208"/>
      <c r="J38" s="208"/>
      <c r="K38" s="168"/>
      <c r="L38" s="226">
        <f>SUM(L21,L36)</f>
        <v>0</v>
      </c>
      <c r="M38" s="226">
        <f>SUM(M21,M36)</f>
        <v>0</v>
      </c>
      <c r="N38" s="226">
        <f>SUM(N21,N36)</f>
        <v>0</v>
      </c>
      <c r="O38" s="226">
        <f>SUM(O21,O36)</f>
        <v>0</v>
      </c>
      <c r="P38" s="226">
        <f>P21</f>
        <v>0</v>
      </c>
      <c r="Q38" s="226">
        <f>SUM(Q21,Q36)</f>
        <v>0</v>
      </c>
      <c r="R38" s="168"/>
      <c r="S38" s="170"/>
      <c r="T38" s="170"/>
      <c r="U38" s="530"/>
      <c r="W38" s="265"/>
    </row>
    <row r="39" spans="1:26" s="140" customFormat="1" ht="20.149999999999999" customHeight="1" x14ac:dyDescent="0.3">
      <c r="E39" s="291"/>
      <c r="I39" s="208"/>
      <c r="J39" s="208"/>
      <c r="K39" s="168"/>
      <c r="L39" s="208" t="e">
        <f t="shared" ref="L39:Q39" si="16">L38/$L$38</f>
        <v>#DIV/0!</v>
      </c>
      <c r="M39" s="208" t="e">
        <f t="shared" si="16"/>
        <v>#DIV/0!</v>
      </c>
      <c r="N39" s="208" t="e">
        <f t="shared" si="16"/>
        <v>#DIV/0!</v>
      </c>
      <c r="O39" s="208" t="e">
        <f t="shared" si="16"/>
        <v>#DIV/0!</v>
      </c>
      <c r="P39" s="208" t="e">
        <f t="shared" si="16"/>
        <v>#DIV/0!</v>
      </c>
      <c r="Q39" s="208" t="e">
        <f t="shared" si="16"/>
        <v>#DIV/0!</v>
      </c>
      <c r="R39" s="168"/>
      <c r="S39" s="170"/>
      <c r="T39" s="170"/>
      <c r="W39" s="265"/>
    </row>
    <row r="40" spans="1:26" s="140" customFormat="1" ht="12.9" thickBot="1" x14ac:dyDescent="0.35">
      <c r="E40" s="292"/>
      <c r="F40" s="170"/>
      <c r="G40" s="170"/>
      <c r="H40" s="170"/>
      <c r="I40" s="170"/>
      <c r="J40" s="170"/>
      <c r="K40" s="168"/>
      <c r="L40" s="168"/>
      <c r="M40" s="168"/>
      <c r="N40" s="168"/>
      <c r="O40" s="168"/>
      <c r="P40" s="168"/>
      <c r="Q40" s="168"/>
      <c r="R40" s="168"/>
      <c r="T40" s="168"/>
      <c r="W40" s="265"/>
    </row>
    <row r="41" spans="1:26" s="140" customFormat="1" ht="45" customHeight="1" thickBot="1" x14ac:dyDescent="0.35">
      <c r="D41" s="523" t="str">
        <f>Langues1!C544</f>
        <v>Coût total = total des investissements induits par le programme</v>
      </c>
      <c r="E41" s="524"/>
      <c r="F41" s="524"/>
      <c r="G41" s="525"/>
      <c r="H41" s="280" t="s">
        <v>597</v>
      </c>
      <c r="I41" s="278">
        <f>SUM(I21,J21,J36)</f>
        <v>0</v>
      </c>
      <c r="J41" s="279" t="e">
        <f>SUM(I41/I41)</f>
        <v>#DIV/0!</v>
      </c>
      <c r="K41" s="168"/>
      <c r="L41" s="519" t="str">
        <f>Langues1!C546</f>
        <v>Soutien demandé à ProKilowatt</v>
      </c>
      <c r="M41" s="520"/>
      <c r="N41" s="520"/>
      <c r="O41" s="521"/>
      <c r="P41" s="280" t="s">
        <v>597</v>
      </c>
      <c r="Q41" s="234">
        <f>SUM(Q21,Q36)</f>
        <v>0</v>
      </c>
      <c r="R41" s="235" t="e">
        <f>Q41/(I41-O38)</f>
        <v>#DIV/0!</v>
      </c>
      <c r="T41" s="173">
        <f>IF(OR(Q41&lt;Ctrl!B9,Q41&gt;Ctrl!B10),1,0)</f>
        <v>1</v>
      </c>
      <c r="U41" s="204" t="str">
        <f>IF(X8=7,Langues1!C601,IF(X8=9,Langues1!C604,Langues1!C413))</f>
        <v>Contribution sollicitée dans le cadre des appels d'offres publics. Contribution minimale CHF 150'000. Contribution maximale CHF 3 million</v>
      </c>
      <c r="W41" s="265"/>
    </row>
    <row r="42" spans="1:26" s="140" customFormat="1" x14ac:dyDescent="0.3">
      <c r="E42" s="291"/>
      <c r="W42" s="265"/>
    </row>
    <row r="43" spans="1:26" s="140" customFormat="1" ht="60.75" customHeight="1" x14ac:dyDescent="0.3">
      <c r="D43" s="213" t="str">
        <f>Langues1!C548</f>
        <v>Commentaire(s)</v>
      </c>
      <c r="E43" s="526"/>
      <c r="F43" s="527"/>
      <c r="G43" s="527"/>
      <c r="H43" s="527"/>
      <c r="I43" s="527"/>
      <c r="J43" s="527"/>
      <c r="K43" s="527"/>
      <c r="L43" s="527"/>
      <c r="M43" s="527"/>
      <c r="N43" s="527"/>
      <c r="O43" s="527"/>
      <c r="P43" s="527"/>
      <c r="Q43" s="527"/>
      <c r="R43" s="528"/>
      <c r="W43" s="265"/>
    </row>
    <row r="44" spans="1:26" s="140" customFormat="1" x14ac:dyDescent="0.3">
      <c r="E44" s="291"/>
      <c r="T44" s="168"/>
      <c r="W44" s="265"/>
    </row>
    <row r="45" spans="1:26" s="140" customFormat="1" x14ac:dyDescent="0.3">
      <c r="E45" s="291"/>
      <c r="T45" s="168"/>
      <c r="W45" s="265"/>
    </row>
    <row r="46" spans="1:26" s="140" customFormat="1" x14ac:dyDescent="0.3">
      <c r="E46" s="291"/>
      <c r="W46" s="265"/>
    </row>
    <row r="47" spans="1:26" s="140" customFormat="1" x14ac:dyDescent="0.3">
      <c r="E47" s="291"/>
      <c r="W47" s="265"/>
    </row>
    <row r="48" spans="1:26" s="140" customFormat="1" x14ac:dyDescent="0.3">
      <c r="E48" s="291"/>
      <c r="W48" s="265"/>
    </row>
  </sheetData>
  <sheetProtection algorithmName="SHA-512" hashValue="1y6oYDtgHDg79HKY6iaU7E8JxmOdmQrI2OmJcoVQy8T915iXwXDxitvNzHBZiV/DO8o64zsDYkRTGBKMj7qwvA==" saltValue="yYlOeCTf3fMIcLoWHYaaWQ==" spinCount="100000" sheet="1" objects="1" scenarios="1" formatCells="0" formatColumns="0" formatRows="0"/>
  <mergeCells count="43">
    <mergeCell ref="R1:T1"/>
    <mergeCell ref="R3:T3"/>
    <mergeCell ref="R4:T4"/>
    <mergeCell ref="A14:A20"/>
    <mergeCell ref="A10:A12"/>
    <mergeCell ref="C20:D20"/>
    <mergeCell ref="C17:D17"/>
    <mergeCell ref="Q9:R9"/>
    <mergeCell ref="R11:R12"/>
    <mergeCell ref="L2:Q2"/>
    <mergeCell ref="C18:D18"/>
    <mergeCell ref="C7:J7"/>
    <mergeCell ref="L7:T7"/>
    <mergeCell ref="D2:I2"/>
    <mergeCell ref="R2:T2"/>
    <mergeCell ref="N8:O8"/>
    <mergeCell ref="A27:A35"/>
    <mergeCell ref="C13:D13"/>
    <mergeCell ref="B1:C2"/>
    <mergeCell ref="C6:D6"/>
    <mergeCell ref="C9:D9"/>
    <mergeCell ref="B4:C4"/>
    <mergeCell ref="C16:D16"/>
    <mergeCell ref="C14:D14"/>
    <mergeCell ref="C25:D25"/>
    <mergeCell ref="C15:D15"/>
    <mergeCell ref="B3:C3"/>
    <mergeCell ref="C10:D10"/>
    <mergeCell ref="C11:D11"/>
    <mergeCell ref="C12:D12"/>
    <mergeCell ref="C19:D19"/>
    <mergeCell ref="D41:G41"/>
    <mergeCell ref="E43:R43"/>
    <mergeCell ref="V27:V34"/>
    <mergeCell ref="U37:U38"/>
    <mergeCell ref="U25:U26"/>
    <mergeCell ref="C35:D35"/>
    <mergeCell ref="R14:R20"/>
    <mergeCell ref="I23:J23"/>
    <mergeCell ref="U27:U30"/>
    <mergeCell ref="U31:U34"/>
    <mergeCell ref="L41:O41"/>
    <mergeCell ref="U35:U36"/>
  </mergeCells>
  <phoneticPr fontId="29" type="noConversion"/>
  <conditionalFormatting sqref="R2 K11:K12 K14:K20 T11:T12 T14:T20 T27:T35 K27:K35">
    <cfRule type="cellIs" dxfId="80" priority="120" stopIfTrue="1" operator="notEqual">
      <formula>0</formula>
    </cfRule>
    <cfRule type="cellIs" dxfId="79" priority="121" stopIfTrue="1" operator="equal">
      <formula>0</formula>
    </cfRule>
  </conditionalFormatting>
  <conditionalFormatting sqref="T11:T12">
    <cfRule type="cellIs" dxfId="78" priority="96" stopIfTrue="1" operator="notEqual">
      <formula>0</formula>
    </cfRule>
    <cfRule type="cellIs" dxfId="77" priority="97" stopIfTrue="1" operator="equal">
      <formula>0</formula>
    </cfRule>
  </conditionalFormatting>
  <conditionalFormatting sqref="J2">
    <cfRule type="cellIs" dxfId="76" priority="84" stopIfTrue="1" operator="notEqual">
      <formula>0</formula>
    </cfRule>
    <cfRule type="cellIs" dxfId="75" priority="85" stopIfTrue="1" operator="equal">
      <formula>0</formula>
    </cfRule>
  </conditionalFormatting>
  <conditionalFormatting sqref="B20 B33:B35">
    <cfRule type="expression" dxfId="74" priority="83" stopIfTrue="1">
      <formula>Y20&lt;&gt;0</formula>
    </cfRule>
  </conditionalFormatting>
  <conditionalFormatting sqref="B15:B19">
    <cfRule type="expression" dxfId="73" priority="69" stopIfTrue="1">
      <formula>Y15&lt;&gt;0</formula>
    </cfRule>
  </conditionalFormatting>
  <conditionalFormatting sqref="R11:R12">
    <cfRule type="cellIs" dxfId="72" priority="67" operator="lessThanOrEqual">
      <formula>0.1</formula>
    </cfRule>
    <cfRule type="cellIs" dxfId="71" priority="68" operator="greaterThan">
      <formula>0.1</formula>
    </cfRule>
  </conditionalFormatting>
  <conditionalFormatting sqref="K15:K20">
    <cfRule type="cellIs" dxfId="70" priority="65" stopIfTrue="1" operator="notEqual">
      <formula>0</formula>
    </cfRule>
    <cfRule type="cellIs" dxfId="69" priority="66" stopIfTrue="1" operator="equal">
      <formula>0</formula>
    </cfRule>
  </conditionalFormatting>
  <conditionalFormatting sqref="T14:T20">
    <cfRule type="cellIs" dxfId="68" priority="63" stopIfTrue="1" operator="notEqual">
      <formula>0</formula>
    </cfRule>
    <cfRule type="cellIs" dxfId="67" priority="64" stopIfTrue="1" operator="equal">
      <formula>0</formula>
    </cfRule>
  </conditionalFormatting>
  <conditionalFormatting sqref="T13">
    <cfRule type="cellIs" dxfId="66" priority="55" stopIfTrue="1" operator="notEqual">
      <formula>0</formula>
    </cfRule>
    <cfRule type="cellIs" dxfId="65" priority="56" stopIfTrue="1" operator="equal">
      <formula>0</formula>
    </cfRule>
  </conditionalFormatting>
  <conditionalFormatting sqref="R14">
    <cfRule type="cellIs" dxfId="64" priority="49" operator="lessThanOrEqual">
      <formula>0.3</formula>
    </cfRule>
    <cfRule type="cellIs" dxfId="63" priority="50" operator="greaterThan">
      <formula>0.3</formula>
    </cfRule>
  </conditionalFormatting>
  <conditionalFormatting sqref="T41">
    <cfRule type="cellIs" dxfId="62" priority="33" stopIfTrue="1" operator="notEqual">
      <formula>0</formula>
    </cfRule>
    <cfRule type="cellIs" dxfId="61" priority="34" stopIfTrue="1" operator="equal">
      <formula>0</formula>
    </cfRule>
  </conditionalFormatting>
  <conditionalFormatting sqref="T41">
    <cfRule type="cellIs" dxfId="60" priority="31" stopIfTrue="1" operator="notEqual">
      <formula>0</formula>
    </cfRule>
    <cfRule type="cellIs" dxfId="59" priority="32" stopIfTrue="1" operator="equal">
      <formula>0</formula>
    </cfRule>
  </conditionalFormatting>
  <conditionalFormatting sqref="Q41">
    <cfRule type="cellIs" dxfId="58" priority="29" operator="greaterThan">
      <formula>$AA$8</formula>
    </cfRule>
    <cfRule type="cellIs" dxfId="57" priority="30" operator="lessThan">
      <formula>150000</formula>
    </cfRule>
  </conditionalFormatting>
  <conditionalFormatting sqref="G27:G28 G30:G35">
    <cfRule type="cellIs" dxfId="56" priority="22" operator="greaterThan">
      <formula>$F27</formula>
    </cfRule>
  </conditionalFormatting>
  <conditionalFormatting sqref="F23">
    <cfRule type="expression" priority="18">
      <formula>"si($Y$7=7;$J$27&gt;$AC$7;0)"</formula>
    </cfRule>
  </conditionalFormatting>
  <conditionalFormatting sqref="V27:V34">
    <cfRule type="expression" dxfId="55" priority="13">
      <formula>COUNTBLANK($V$27)=1</formula>
    </cfRule>
  </conditionalFormatting>
  <conditionalFormatting sqref="T37">
    <cfRule type="cellIs" dxfId="54" priority="11" stopIfTrue="1" operator="notEqual">
      <formula>0</formula>
    </cfRule>
    <cfRule type="cellIs" dxfId="53" priority="12" stopIfTrue="1" operator="equal">
      <formula>0</formula>
    </cfRule>
  </conditionalFormatting>
  <conditionalFormatting sqref="T37">
    <cfRule type="cellIs" dxfId="52" priority="9" stopIfTrue="1" operator="notEqual">
      <formula>0</formula>
    </cfRule>
    <cfRule type="cellIs" dxfId="51" priority="10" stopIfTrue="1" operator="equal">
      <formula>0</formula>
    </cfRule>
  </conditionalFormatting>
  <conditionalFormatting sqref="G29">
    <cfRule type="cellIs" dxfId="50" priority="7" operator="greaterThan">
      <formula>$F29</formula>
    </cfRule>
  </conditionalFormatting>
  <conditionalFormatting sqref="T21">
    <cfRule type="cellIs" dxfId="49" priority="2" stopIfTrue="1" operator="notEqual">
      <formula>0</formula>
    </cfRule>
    <cfRule type="cellIs" dxfId="48" priority="3" stopIfTrue="1" operator="equal">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6" stopIfTrue="1" id="{DC7D0638-A1CD-411A-8B24-1A9299E4E6DE}">
            <xm:f>OR('1'!$C$9=#REF!,'1'!$C$9=#REF!,'1'!$C$9=#REF!)</xm:f>
            <x14:dxf>
              <font>
                <color auto="1"/>
              </font>
              <fill>
                <patternFill>
                  <bgColor theme="0"/>
                </patternFill>
              </fill>
            </x14:dxf>
          </x14:cfRule>
          <xm:sqref>R11:R12</xm:sqref>
        </x14:conditionalFormatting>
        <x14:conditionalFormatting xmlns:xm="http://schemas.microsoft.com/office/excel/2006/main">
          <x14:cfRule type="expression" priority="5" stopIfTrue="1" id="{8C984F60-FE8C-4016-A5D0-1E8AB9290488}">
            <xm:f>OR('1'!$C$9=#REF!,'1'!$C$9=#REF!,'1'!$C$9=#REF!)</xm:f>
            <x14:dxf>
              <font>
                <color theme="0"/>
              </font>
              <fill>
                <patternFill patternType="solid">
                  <bgColor theme="0"/>
                </patternFill>
              </fill>
            </x14:dxf>
          </x14:cfRule>
          <xm:sqref>T13</xm:sqref>
        </x14:conditionalFormatting>
        <x14:conditionalFormatting xmlns:xm="http://schemas.microsoft.com/office/excel/2006/main">
          <x14:cfRule type="expression" priority="4" stopIfTrue="1" id="{26BBCAEC-50B6-400A-8554-5EB5C93866B4}">
            <xm:f>OR('1'!$C$9=#REF!,'1'!$C$9=#REF!,'1'!$C$9=#REF!)</xm:f>
            <x14:dxf>
              <fill>
                <patternFill>
                  <bgColor theme="0"/>
                </patternFill>
              </fill>
            </x14:dxf>
          </x14:cfRule>
          <xm:sqref>R14:R20</xm:sqref>
        </x14:conditionalFormatting>
        <x14:conditionalFormatting xmlns:xm="http://schemas.microsoft.com/office/excel/2006/main">
          <x14:cfRule type="expression" priority="1" stopIfTrue="1" id="{479885D4-22E5-4FBC-9963-41FF71F6D9C7}">
            <xm:f>OR('1'!$C$9=#REF!,'1'!$C$9=#REF!,'1'!$C$9=#REF!)</xm:f>
            <x14:dxf>
              <font>
                <color theme="0"/>
              </font>
              <fill>
                <patternFill patternType="solid">
                  <bgColor theme="0"/>
                </patternFill>
              </fill>
            </x14:dxf>
          </x14:cfRule>
          <xm:sqref>T21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Listes_techno!$B$3:$B$38</xm:f>
          </x14:formula1>
          <xm:sqref>D27:D34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23">
    <pageSetUpPr fitToPage="1"/>
  </sheetPr>
  <dimension ref="A1:Y50"/>
  <sheetViews>
    <sheetView zoomScale="85" zoomScaleNormal="85" workbookViewId="0">
      <pane xSplit="4" ySplit="9" topLeftCell="E10" activePane="bottomRight" state="frozen"/>
      <selection activeCell="D27" sqref="D27:D32"/>
      <selection pane="topRight" activeCell="D27" sqref="D27:D32"/>
      <selection pane="bottomLeft" activeCell="D27" sqref="D27:D32"/>
      <selection pane="bottomRight" activeCell="F19" sqref="F19"/>
    </sheetView>
  </sheetViews>
  <sheetFormatPr baseColWidth="10" defaultColWidth="11.3828125" defaultRowHeight="12.45" x14ac:dyDescent="0.3"/>
  <cols>
    <col min="1" max="1" width="6.69140625" style="71" customWidth="1"/>
    <col min="2" max="2" width="5.3046875" style="71" customWidth="1"/>
    <col min="3" max="3" width="17.69140625" style="71" customWidth="1"/>
    <col min="4" max="4" width="29.69140625" style="71" customWidth="1"/>
    <col min="5" max="5" width="15.84375" style="71" customWidth="1"/>
    <col min="6" max="6" width="18.69140625" style="71" bestFit="1" customWidth="1"/>
    <col min="7" max="9" width="21.53515625" style="71" bestFit="1" customWidth="1"/>
    <col min="10" max="10" width="17.15234375" style="71" bestFit="1" customWidth="1"/>
    <col min="11" max="13" width="15.69140625" style="71" customWidth="1"/>
    <col min="14" max="15" width="22.53515625" style="71" bestFit="1" customWidth="1"/>
    <col min="16" max="16" width="15.69140625" style="71" customWidth="1"/>
    <col min="17" max="17" width="4.53515625" style="71" customWidth="1"/>
    <col min="18" max="18" width="96.15234375" style="71" customWidth="1"/>
    <col min="19" max="19" width="11.3828125" style="25"/>
    <col min="20" max="21" width="11.3828125" style="71"/>
    <col min="22" max="26" width="11.3828125" style="71" customWidth="1"/>
    <col min="27" max="16384" width="11.3828125" style="71"/>
  </cols>
  <sheetData>
    <row r="1" spans="1:25" ht="24.75" customHeight="1" x14ac:dyDescent="0.3">
      <c r="B1" s="537"/>
      <c r="C1" s="537"/>
      <c r="D1" s="216" t="str">
        <f>Langues1!C561</f>
        <v>Analyse des effets / économies</v>
      </c>
      <c r="E1" s="155"/>
      <c r="F1" s="155"/>
      <c r="G1" s="155"/>
      <c r="H1" s="155"/>
      <c r="I1" s="155"/>
      <c r="J1" s="155"/>
      <c r="K1" s="155"/>
      <c r="L1" s="155"/>
      <c r="M1" s="155"/>
      <c r="N1" s="155"/>
      <c r="O1" s="155"/>
      <c r="P1" s="163"/>
      <c r="Q1" s="248" t="s">
        <v>1397</v>
      </c>
      <c r="R1" s="72"/>
    </row>
    <row r="2" spans="1:25" ht="21" customHeight="1" x14ac:dyDescent="0.3">
      <c r="B2" s="537"/>
      <c r="C2" s="537"/>
      <c r="D2" s="551" t="str">
        <f>Langues1!C562</f>
        <v>Statut des économies</v>
      </c>
      <c r="E2" s="552"/>
      <c r="F2" s="552"/>
      <c r="G2" s="552"/>
      <c r="H2" s="552"/>
      <c r="I2" s="552"/>
      <c r="J2" s="552"/>
      <c r="K2" s="552"/>
      <c r="L2" s="552"/>
      <c r="M2" s="552"/>
      <c r="N2" s="552"/>
      <c r="O2" s="564"/>
      <c r="P2" s="100">
        <f>(SUM(Q7:Q26))</f>
        <v>0</v>
      </c>
      <c r="Q2" s="197"/>
      <c r="R2" s="559" t="str">
        <f>Langues1!C286</f>
        <v>L'analyse des effets décrit le scénario de référence / unité (situation sans programme = situation actuelle ou consommation d'électricité d'une installation standard) et situation avec une solution efficace / unité (situation avec programme). Les économies d'électricité sont calculées par unité.</v>
      </c>
    </row>
    <row r="3" spans="1:25" x14ac:dyDescent="0.3">
      <c r="B3" s="540" t="str">
        <f>'0'!A3</f>
        <v>Partenaire principal</v>
      </c>
      <c r="C3" s="541"/>
      <c r="D3" s="161">
        <f>'2'!C7</f>
        <v>0</v>
      </c>
      <c r="E3" s="162"/>
      <c r="F3" s="162"/>
      <c r="G3" s="162"/>
      <c r="H3" s="162"/>
      <c r="I3" s="162"/>
      <c r="J3" s="162"/>
      <c r="K3" s="162"/>
      <c r="L3" s="162"/>
      <c r="M3" s="162"/>
      <c r="N3" s="162"/>
      <c r="O3" s="162"/>
      <c r="P3" s="164"/>
      <c r="Q3" s="198"/>
      <c r="R3" s="559"/>
    </row>
    <row r="4" spans="1:25" ht="12.75" customHeight="1" x14ac:dyDescent="0.3">
      <c r="B4" s="540" t="str">
        <f>'0'!A4</f>
        <v>Acronyme du programme</v>
      </c>
      <c r="C4" s="541"/>
      <c r="D4" s="161">
        <f>'1'!C8</f>
        <v>0</v>
      </c>
      <c r="E4" s="162"/>
      <c r="F4" s="162"/>
      <c r="G4" s="162"/>
      <c r="H4" s="162"/>
      <c r="I4" s="162"/>
      <c r="J4" s="162"/>
      <c r="K4" s="162"/>
      <c r="L4" s="162"/>
      <c r="M4" s="162"/>
      <c r="N4" s="162"/>
      <c r="O4" s="162"/>
      <c r="P4" s="164"/>
      <c r="Q4" s="198"/>
      <c r="R4" s="559"/>
    </row>
    <row r="5" spans="1:25" x14ac:dyDescent="0.3">
      <c r="B5" s="165"/>
      <c r="C5" s="165"/>
      <c r="D5" s="86"/>
      <c r="E5" s="86"/>
      <c r="F5" s="140"/>
      <c r="G5" s="140"/>
      <c r="H5" s="140"/>
      <c r="I5" s="140"/>
      <c r="J5" s="140"/>
      <c r="K5" s="140"/>
      <c r="L5" s="140"/>
      <c r="M5" s="140"/>
      <c r="N5" s="140"/>
      <c r="O5" s="140"/>
      <c r="P5" s="140"/>
      <c r="Q5" s="140"/>
      <c r="R5" s="559"/>
    </row>
    <row r="6" spans="1:25" s="140" customFormat="1" x14ac:dyDescent="0.3">
      <c r="B6" s="140">
        <v>4.0999999999999996</v>
      </c>
      <c r="C6" s="217" t="str">
        <f>Langues1!C563</f>
        <v>Analyse des effets / économies des mesures de soutien</v>
      </c>
      <c r="D6" s="217"/>
      <c r="E6" s="169"/>
      <c r="R6" s="559"/>
      <c r="S6" s="265"/>
    </row>
    <row r="7" spans="1:25" s="195" customFormat="1" ht="24.75" customHeight="1" x14ac:dyDescent="0.3">
      <c r="B7" s="215"/>
      <c r="C7" s="566" t="str">
        <f>Langues1!C113</f>
        <v>Ø Tarif de l'électricité (TVA incluse)</v>
      </c>
      <c r="D7" s="566"/>
      <c r="E7" s="13" t="s">
        <v>628</v>
      </c>
      <c r="F7" s="143">
        <v>0.15</v>
      </c>
      <c r="G7" s="140"/>
      <c r="H7" s="140"/>
      <c r="I7" s="140"/>
      <c r="J7" s="140"/>
      <c r="K7" s="140"/>
      <c r="L7" s="140"/>
      <c r="M7" s="140"/>
      <c r="N7" s="140"/>
      <c r="O7" s="140"/>
      <c r="P7" s="140"/>
      <c r="Q7" s="173">
        <f>COUNTBLANK(F7)</f>
        <v>0</v>
      </c>
      <c r="R7" s="11" t="str">
        <f>Langues1!C317</f>
        <v>Indication du tarif moyen de l'électricité utilisé pour le calcul des coûts énergétiques.</v>
      </c>
      <c r="S7" s="270"/>
    </row>
    <row r="8" spans="1:25" s="168" customFormat="1" x14ac:dyDescent="0.3">
      <c r="B8" s="171"/>
      <c r="C8" s="172"/>
      <c r="D8" s="172"/>
      <c r="E8" s="172"/>
      <c r="F8" s="140"/>
      <c r="G8" s="140"/>
      <c r="H8" s="140"/>
      <c r="I8" s="140"/>
      <c r="J8" s="140"/>
      <c r="K8" s="140"/>
      <c r="L8" s="140"/>
      <c r="M8" s="140"/>
      <c r="N8" s="140"/>
      <c r="O8" s="140"/>
      <c r="P8" s="140"/>
      <c r="Q8" s="140"/>
    </row>
    <row r="9" spans="1:25" s="140" customFormat="1" ht="89.25" customHeight="1" x14ac:dyDescent="0.3">
      <c r="B9" s="173"/>
      <c r="C9" s="565" t="str">
        <f>Langues1!C360</f>
        <v>Centre de charge</v>
      </c>
      <c r="D9" s="565"/>
      <c r="E9" s="211" t="str">
        <f>Langues1!C513</f>
        <v>Nombre d'unités</v>
      </c>
      <c r="F9" s="211" t="str">
        <f>Langues1!C565</f>
        <v>Consommation éléctrique de l’ancienne installation / unité</v>
      </c>
      <c r="G9" s="211" t="str">
        <f>Langues1!C579</f>
        <v>Consommation éléctrique de l’ancienne installation / total</v>
      </c>
      <c r="H9" s="211" t="str">
        <f>Langues1!C566</f>
        <v>Consommation électrique de la nouvelle installation/ unité</v>
      </c>
      <c r="I9" s="211" t="str">
        <f>Langues1!C580</f>
        <v>Consommation électrique de la nouvelle installation/ total</v>
      </c>
      <c r="J9" s="211" t="str">
        <f>Langues1!C567</f>
        <v>Facteur de réduction 
pour taux de remplacement naturel</v>
      </c>
      <c r="K9" s="211" t="str">
        <f>Langues1!C568</f>
        <v>Économies d'électricité / unité</v>
      </c>
      <c r="L9" s="211" t="str">
        <f>Langues1!C569</f>
        <v>Durée d'utilisation imputable (cf annexe 4)</v>
      </c>
      <c r="M9" s="211" t="str">
        <f>Langues1!C570</f>
        <v>Économies d'électricité imputables totales par an</v>
      </c>
      <c r="N9" s="211" t="str">
        <f>Langues1!C571</f>
        <v>Payback par mesure sans soutien ProKilowatt</v>
      </c>
      <c r="O9" s="211" t="str">
        <f>Langues1!C572</f>
        <v>Durée de retour sur investissement par mesure avec moyens de soutien</v>
      </c>
      <c r="P9" s="211" t="str">
        <f>Langues1!C120</f>
        <v>Économies d'électricité cumulée imputable</v>
      </c>
      <c r="Q9" s="174"/>
      <c r="S9" s="265"/>
    </row>
    <row r="10" spans="1:25" s="140" customFormat="1" ht="20.149999999999999" customHeight="1" x14ac:dyDescent="0.3">
      <c r="B10" s="175"/>
      <c r="C10" s="536" t="str">
        <f>'3'!C13</f>
        <v>Mesures d'accompagnement</v>
      </c>
      <c r="D10" s="536"/>
      <c r="E10" s="173"/>
      <c r="F10" s="173"/>
      <c r="G10" s="173"/>
      <c r="H10" s="173"/>
      <c r="I10" s="173"/>
      <c r="J10" s="173"/>
      <c r="K10" s="173"/>
      <c r="L10" s="173"/>
      <c r="M10" s="173"/>
      <c r="N10" s="173"/>
      <c r="O10" s="173"/>
      <c r="P10" s="173"/>
      <c r="Q10" s="174"/>
      <c r="S10" s="265"/>
    </row>
    <row r="11" spans="1:25" s="140" customFormat="1" ht="19.5" customHeight="1" x14ac:dyDescent="0.3">
      <c r="A11" s="533" t="str">
        <f>'3'!A14</f>
        <v>Mesures d'accompagnement</v>
      </c>
      <c r="B11" s="174"/>
      <c r="C11" s="560" t="str">
        <f>'3'!C14</f>
        <v>Communication du programme</v>
      </c>
      <c r="D11" s="560"/>
      <c r="E11" s="153">
        <f>'3'!E14</f>
        <v>0</v>
      </c>
      <c r="F11" s="153"/>
      <c r="G11" s="153"/>
      <c r="H11" s="153"/>
      <c r="I11" s="153"/>
      <c r="J11" s="153"/>
      <c r="K11" s="205"/>
      <c r="L11" s="205"/>
      <c r="M11" s="153"/>
      <c r="N11" s="206"/>
      <c r="O11" s="206"/>
      <c r="P11" s="205" t="str">
        <f>IF(COUNTBLANK(F11:M11)&gt;0,$Q$1,E11*F11)</f>
        <v>-</v>
      </c>
      <c r="Q11" s="175"/>
      <c r="S11" s="265"/>
    </row>
    <row r="12" spans="1:25" s="140" customFormat="1" ht="19.5" customHeight="1" x14ac:dyDescent="0.3">
      <c r="A12" s="534"/>
      <c r="B12" s="174"/>
      <c r="C12" s="560" t="str">
        <f>'3'!C15</f>
        <v>Coûts de formation et de perfectionnement</v>
      </c>
      <c r="D12" s="560"/>
      <c r="E12" s="153">
        <f>'3'!E15</f>
        <v>0</v>
      </c>
      <c r="F12" s="153"/>
      <c r="G12" s="153"/>
      <c r="H12" s="153"/>
      <c r="I12" s="153"/>
      <c r="J12" s="153"/>
      <c r="K12" s="205"/>
      <c r="L12" s="205"/>
      <c r="M12" s="153"/>
      <c r="N12" s="206"/>
      <c r="O12" s="206"/>
      <c r="P12" s="205" t="str">
        <f t="shared" ref="P12:P17" si="0">IF(COUNTBLANK(F12:M12)&gt;0,$Q$1,E12*F12)</f>
        <v>-</v>
      </c>
      <c r="Q12" s="175"/>
      <c r="S12" s="265"/>
      <c r="U12" s="182"/>
    </row>
    <row r="13" spans="1:25" s="140" customFormat="1" ht="19.5" customHeight="1" x14ac:dyDescent="0.3">
      <c r="A13" s="534"/>
      <c r="B13" s="174"/>
      <c r="C13" s="560" t="str">
        <f>'3'!C16</f>
        <v>Conseils</v>
      </c>
      <c r="D13" s="560"/>
      <c r="E13" s="153">
        <f>'3'!E16</f>
        <v>0</v>
      </c>
      <c r="F13" s="153"/>
      <c r="G13" s="153"/>
      <c r="H13" s="153"/>
      <c r="I13" s="153"/>
      <c r="J13" s="153"/>
      <c r="K13" s="205"/>
      <c r="L13" s="205"/>
      <c r="M13" s="153"/>
      <c r="N13" s="206"/>
      <c r="O13" s="206"/>
      <c r="P13" s="205" t="str">
        <f t="shared" si="0"/>
        <v>-</v>
      </c>
      <c r="Q13" s="175"/>
      <c r="S13" s="265"/>
      <c r="U13" s="182"/>
    </row>
    <row r="14" spans="1:25" s="140" customFormat="1" ht="19.5" customHeight="1" x14ac:dyDescent="0.3">
      <c r="A14" s="534"/>
      <c r="B14" s="174"/>
      <c r="C14" s="560" t="str">
        <f>'3'!C17</f>
        <v>Mise à disposition des outils de saisie, etc.</v>
      </c>
      <c r="D14" s="560"/>
      <c r="E14" s="153">
        <f>'3'!E17</f>
        <v>0</v>
      </c>
      <c r="F14" s="153"/>
      <c r="G14" s="153"/>
      <c r="H14" s="153"/>
      <c r="I14" s="153"/>
      <c r="J14" s="153"/>
      <c r="K14" s="205"/>
      <c r="L14" s="205"/>
      <c r="M14" s="153"/>
      <c r="N14" s="206"/>
      <c r="O14" s="206"/>
      <c r="P14" s="205" t="str">
        <f t="shared" si="0"/>
        <v>-</v>
      </c>
      <c r="Q14" s="175"/>
      <c r="S14" s="265"/>
      <c r="U14" s="182"/>
    </row>
    <row r="15" spans="1:25" s="140" customFormat="1" ht="19.5" customHeight="1" x14ac:dyDescent="0.3">
      <c r="A15" s="534"/>
      <c r="B15" s="174"/>
      <c r="C15" s="560" t="str">
        <f>'3'!C18</f>
        <v>Monitoring</v>
      </c>
      <c r="D15" s="560"/>
      <c r="E15" s="153">
        <f>'3'!E18</f>
        <v>0</v>
      </c>
      <c r="F15" s="153"/>
      <c r="G15" s="153"/>
      <c r="H15" s="153"/>
      <c r="I15" s="153"/>
      <c r="J15" s="153"/>
      <c r="K15" s="205"/>
      <c r="L15" s="205"/>
      <c r="M15" s="153"/>
      <c r="N15" s="206"/>
      <c r="O15" s="206"/>
      <c r="P15" s="205" t="str">
        <f t="shared" si="0"/>
        <v>-</v>
      </c>
      <c r="Q15" s="175"/>
      <c r="S15" s="265"/>
      <c r="U15" s="182"/>
    </row>
    <row r="16" spans="1:25" s="140" customFormat="1" ht="19.5" customHeight="1" x14ac:dyDescent="0.3">
      <c r="A16" s="534"/>
      <c r="B16" s="174"/>
      <c r="C16" s="560" t="str">
        <f>'3'!C19</f>
        <v>Mesures d'accompagnement 6</v>
      </c>
      <c r="D16" s="560"/>
      <c r="E16" s="153">
        <f>'3'!E19</f>
        <v>0</v>
      </c>
      <c r="F16" s="153"/>
      <c r="G16" s="153"/>
      <c r="H16" s="153"/>
      <c r="I16" s="153"/>
      <c r="J16" s="153"/>
      <c r="K16" s="205"/>
      <c r="L16" s="205"/>
      <c r="M16" s="153"/>
      <c r="N16" s="206"/>
      <c r="O16" s="206"/>
      <c r="P16" s="205" t="str">
        <f t="shared" si="0"/>
        <v>-</v>
      </c>
      <c r="Q16" s="175"/>
      <c r="S16" s="265"/>
      <c r="U16" s="182"/>
      <c r="V16" s="381"/>
      <c r="W16" s="381"/>
      <c r="X16" s="381"/>
      <c r="Y16" s="381"/>
    </row>
    <row r="17" spans="1:25" s="140" customFormat="1" ht="19.5" customHeight="1" x14ac:dyDescent="0.3">
      <c r="A17" s="535"/>
      <c r="B17" s="174"/>
      <c r="C17" s="560" t="str">
        <f>'3'!C20</f>
        <v>Mesures d'accompagnement 7</v>
      </c>
      <c r="D17" s="560"/>
      <c r="E17" s="153">
        <f>'3'!E20</f>
        <v>0</v>
      </c>
      <c r="F17" s="153"/>
      <c r="G17" s="153"/>
      <c r="H17" s="153"/>
      <c r="I17" s="153"/>
      <c r="J17" s="153"/>
      <c r="K17" s="205"/>
      <c r="L17" s="205"/>
      <c r="M17" s="153"/>
      <c r="N17" s="206"/>
      <c r="O17" s="206"/>
      <c r="P17" s="205" t="str">
        <f t="shared" si="0"/>
        <v>-</v>
      </c>
      <c r="Q17" s="175"/>
      <c r="S17" s="265"/>
      <c r="U17" s="183"/>
      <c r="V17" s="382"/>
      <c r="W17" s="381"/>
      <c r="X17" s="381"/>
      <c r="Y17" s="381"/>
    </row>
    <row r="18" spans="1:25" s="140" customFormat="1" ht="20.149999999999999" customHeight="1" x14ac:dyDescent="0.3">
      <c r="B18" s="173"/>
      <c r="C18" s="536" t="str">
        <f>'3'!C26</f>
        <v>Mesures de soutien</v>
      </c>
      <c r="D18" s="536"/>
      <c r="E18" s="173"/>
      <c r="F18" s="192" t="str">
        <f>Langues1!C129</f>
        <v>[kWh/an]</v>
      </c>
      <c r="G18" s="192" t="str">
        <f>Langues1!C129</f>
        <v>[kWh/an]</v>
      </c>
      <c r="H18" s="192" t="str">
        <f>Langues1!C129</f>
        <v>[kWh/an]</v>
      </c>
      <c r="I18" s="192" t="str">
        <f>Langues1!C129</f>
        <v>[kWh/an]</v>
      </c>
      <c r="J18" s="192" t="s">
        <v>1400</v>
      </c>
      <c r="K18" s="192" t="str">
        <f>Langues1!C129</f>
        <v>[kWh/an]</v>
      </c>
      <c r="L18" s="192" t="str">
        <f>Langues1!C132</f>
        <v>[an(s)]</v>
      </c>
      <c r="M18" s="192" t="str">
        <f>Langues1!C129</f>
        <v>[kWh/an]</v>
      </c>
      <c r="N18" s="192" t="str">
        <f>Langues1!C132</f>
        <v>[an(s)]</v>
      </c>
      <c r="O18" s="192" t="str">
        <f>Langues1!C132</f>
        <v>[an(s)]</v>
      </c>
      <c r="P18" s="192" t="s">
        <v>1395</v>
      </c>
      <c r="Q18" s="175"/>
      <c r="R18" s="168" t="str">
        <f>Langues1!C564</f>
        <v>Les économies sont présentées séparément pour les mesures de soutien individuelles.</v>
      </c>
      <c r="S18" s="265"/>
      <c r="V18" s="381"/>
      <c r="W18" s="381"/>
      <c r="X18" s="381"/>
      <c r="Y18" s="381"/>
    </row>
    <row r="19" spans="1:25" s="140" customFormat="1" ht="20.149999999999999" customHeight="1" x14ac:dyDescent="0.3">
      <c r="A19" s="533" t="str">
        <f>'3'!A27</f>
        <v>Mesures de soutien des clients cibles</v>
      </c>
      <c r="B19" s="176"/>
      <c r="C19" s="560" t="str">
        <f>'3'!C27</f>
        <v>Ecrire le titre de la mesure de soutien 1</v>
      </c>
      <c r="D19" s="560"/>
      <c r="E19" s="153">
        <f>'3'!E27</f>
        <v>0</v>
      </c>
      <c r="F19" s="194"/>
      <c r="G19" s="240">
        <f>$E19*F19</f>
        <v>0</v>
      </c>
      <c r="H19" s="194"/>
      <c r="I19" s="240">
        <f>$E19*H19</f>
        <v>0</v>
      </c>
      <c r="J19" s="271">
        <v>0.75</v>
      </c>
      <c r="K19" s="249" t="str">
        <f>IF(COUNTBLANK(F19:J19)&gt;0,$Q$1,(F19-H19))</f>
        <v>-</v>
      </c>
      <c r="L19" s="240">
        <f>IF(E19&gt;0,VLOOKUP('3'!D27,Liste_techno,2,FALSE),0)</f>
        <v>0</v>
      </c>
      <c r="M19" s="249" t="str">
        <f>IF(COUNTBLANK(F19:L19)&gt;0,$Q$1,K19*E19)</f>
        <v>-</v>
      </c>
      <c r="N19" s="250" t="str">
        <f>IF(COUNTBLANK(F19:M19)&gt;0,$Q$1,'3'!H27/(K19*$F$7))</f>
        <v>-</v>
      </c>
      <c r="O19" s="250" t="str">
        <f>IF(COUNTBLANK(F19:M19)&gt;0,$Q$1,('3'!H27-'3'!G27)/(K19*$F$7))</f>
        <v>-</v>
      </c>
      <c r="P19" s="249" t="str">
        <f>IF(COUNTBLANK(F19:M19)&gt;0,$Q$1,L19*M19*J19)</f>
        <v>-</v>
      </c>
      <c r="Q19" s="173">
        <f>IF(AND(N19&lt;4,L19&lt;&gt;0),1,0)</f>
        <v>0</v>
      </c>
      <c r="R19" s="558"/>
      <c r="S19" s="265"/>
      <c r="V19" s="381"/>
      <c r="W19" s="383"/>
      <c r="X19" s="384"/>
      <c r="Y19" s="381"/>
    </row>
    <row r="20" spans="1:25" s="140" customFormat="1" ht="20.149999999999999" customHeight="1" x14ac:dyDescent="0.3">
      <c r="A20" s="534"/>
      <c r="B20" s="175"/>
      <c r="C20" s="560" t="str">
        <f>'3'!C28</f>
        <v>Ecrire le titre de la mesure de soutien 2</v>
      </c>
      <c r="D20" s="560"/>
      <c r="E20" s="153">
        <f>'3'!E28</f>
        <v>0</v>
      </c>
      <c r="F20" s="194"/>
      <c r="G20" s="240">
        <f t="shared" ref="G20:G26" si="1">E20*F20</f>
        <v>0</v>
      </c>
      <c r="H20" s="194"/>
      <c r="I20" s="240">
        <f t="shared" ref="I20:I26" si="2">$E20*H20</f>
        <v>0</v>
      </c>
      <c r="J20" s="271">
        <v>0.75</v>
      </c>
      <c r="K20" s="249" t="str">
        <f t="shared" ref="K20:K26" si="3">IF(COUNTBLANK(F20:J20)&gt;0,$Q$1,(F20-H20))</f>
        <v>-</v>
      </c>
      <c r="L20" s="240">
        <f>IF(E20&gt;0,VLOOKUP('3'!D28,Liste_techno,2,FALSE),0)</f>
        <v>0</v>
      </c>
      <c r="M20" s="249" t="str">
        <f t="shared" ref="M20:M26" si="4">IF(COUNTBLANK(F20:L20)&gt;0,$Q$1,K20*E20)</f>
        <v>-</v>
      </c>
      <c r="N20" s="250" t="str">
        <f>IF(COUNTBLANK(F20:M20)&gt;0,$Q$1,'3'!H28/(K20*$F$7))</f>
        <v>-</v>
      </c>
      <c r="O20" s="250" t="str">
        <f>IF(COUNTBLANK(F20:M20)&gt;0,$Q$1,('3'!H28-'3'!G28)/(K20*$F$7))</f>
        <v>-</v>
      </c>
      <c r="P20" s="249" t="str">
        <f t="shared" ref="P20:P26" si="5">IF(COUNTBLANK(F20:M20)&gt;0,$Q$1,L20*M20*J20)</f>
        <v>-</v>
      </c>
      <c r="Q20" s="173">
        <f t="shared" ref="Q20:Q26" si="6">IF(AND(N20&lt;4,L20&lt;&gt;0),1,0)</f>
        <v>0</v>
      </c>
      <c r="R20" s="558"/>
      <c r="S20" s="265"/>
      <c r="V20" s="381"/>
      <c r="W20" s="381"/>
      <c r="X20" s="384"/>
      <c r="Y20" s="381"/>
    </row>
    <row r="21" spans="1:25" s="140" customFormat="1" ht="20.149999999999999" customHeight="1" x14ac:dyDescent="0.3">
      <c r="A21" s="534"/>
      <c r="B21" s="175"/>
      <c r="C21" s="560" t="str">
        <f>'3'!C29</f>
        <v>Ecrire le titre de la mesure de soutien 3</v>
      </c>
      <c r="D21" s="560"/>
      <c r="E21" s="153">
        <f>'3'!E29</f>
        <v>0</v>
      </c>
      <c r="F21" s="194"/>
      <c r="G21" s="240">
        <f t="shared" si="1"/>
        <v>0</v>
      </c>
      <c r="H21" s="194"/>
      <c r="I21" s="240">
        <f t="shared" si="2"/>
        <v>0</v>
      </c>
      <c r="J21" s="271">
        <v>0.75</v>
      </c>
      <c r="K21" s="249" t="str">
        <f t="shared" si="3"/>
        <v>-</v>
      </c>
      <c r="L21" s="240">
        <f>IF(E21&gt;0,VLOOKUP('3'!D29,Liste_techno,2,FALSE),0)</f>
        <v>0</v>
      </c>
      <c r="M21" s="249" t="str">
        <f t="shared" si="4"/>
        <v>-</v>
      </c>
      <c r="N21" s="250" t="str">
        <f>IF(COUNTBLANK(F21:M21)&gt;0,$Q$1,'3'!H29/(K21*$F$7))</f>
        <v>-</v>
      </c>
      <c r="O21" s="250" t="str">
        <f>IF(COUNTBLANK(F21:M21)&gt;0,$Q$1,('3'!H29-'3'!G29)/(K21*$F$7))</f>
        <v>-</v>
      </c>
      <c r="P21" s="249" t="str">
        <f t="shared" si="5"/>
        <v>-</v>
      </c>
      <c r="Q21" s="173">
        <f t="shared" si="6"/>
        <v>0</v>
      </c>
      <c r="R21" s="558"/>
      <c r="S21" s="265"/>
      <c r="V21" s="381"/>
      <c r="W21" s="381"/>
      <c r="X21" s="384"/>
      <c r="Y21" s="381"/>
    </row>
    <row r="22" spans="1:25" s="140" customFormat="1" ht="20.149999999999999" customHeight="1" x14ac:dyDescent="0.3">
      <c r="A22" s="534"/>
      <c r="B22" s="175"/>
      <c r="C22" s="560" t="str">
        <f>'3'!C30</f>
        <v>Ecrire le titre de la mesure de soutien 4</v>
      </c>
      <c r="D22" s="560"/>
      <c r="E22" s="153">
        <f>'3'!E30</f>
        <v>0</v>
      </c>
      <c r="F22" s="194"/>
      <c r="G22" s="240">
        <f t="shared" si="1"/>
        <v>0</v>
      </c>
      <c r="H22" s="194"/>
      <c r="I22" s="240">
        <f t="shared" si="2"/>
        <v>0</v>
      </c>
      <c r="J22" s="271">
        <v>0.75</v>
      </c>
      <c r="K22" s="249" t="str">
        <f t="shared" si="3"/>
        <v>-</v>
      </c>
      <c r="L22" s="240">
        <f>IF(E22&gt;0,VLOOKUP('3'!D30,Liste_techno,2,FALSE),0)</f>
        <v>0</v>
      </c>
      <c r="M22" s="249" t="str">
        <f t="shared" si="4"/>
        <v>-</v>
      </c>
      <c r="N22" s="250" t="str">
        <f>IF(COUNTBLANK(F22:M22)&gt;0,$Q$1,'3'!H30/(K22*$F$7))</f>
        <v>-</v>
      </c>
      <c r="O22" s="250" t="str">
        <f>IF(COUNTBLANK(F22:M22)&gt;0,$Q$1,('3'!H30-'3'!G30)/(K22*$F$7))</f>
        <v>-</v>
      </c>
      <c r="P22" s="249" t="str">
        <f t="shared" si="5"/>
        <v>-</v>
      </c>
      <c r="Q22" s="173">
        <f t="shared" si="6"/>
        <v>0</v>
      </c>
      <c r="R22" s="558"/>
      <c r="S22" s="265"/>
      <c r="V22" s="381"/>
      <c r="W22" s="381"/>
      <c r="X22" s="384"/>
      <c r="Y22" s="381"/>
    </row>
    <row r="23" spans="1:25" s="140" customFormat="1" ht="20.149999999999999" customHeight="1" x14ac:dyDescent="0.3">
      <c r="A23" s="534"/>
      <c r="B23" s="175"/>
      <c r="C23" s="560" t="str">
        <f>'3'!C31</f>
        <v>Ecrire le titre de la mesure de soutien 5</v>
      </c>
      <c r="D23" s="560"/>
      <c r="E23" s="153">
        <f>'3'!E31</f>
        <v>0</v>
      </c>
      <c r="F23" s="194"/>
      <c r="G23" s="240">
        <f t="shared" si="1"/>
        <v>0</v>
      </c>
      <c r="H23" s="194"/>
      <c r="I23" s="240">
        <f t="shared" si="2"/>
        <v>0</v>
      </c>
      <c r="J23" s="271">
        <v>0.75</v>
      </c>
      <c r="K23" s="249" t="str">
        <f t="shared" si="3"/>
        <v>-</v>
      </c>
      <c r="L23" s="240">
        <f>IF(E23&gt;0,VLOOKUP('3'!D31,Liste_techno,2,FALSE),0)</f>
        <v>0</v>
      </c>
      <c r="M23" s="249" t="str">
        <f t="shared" si="4"/>
        <v>-</v>
      </c>
      <c r="N23" s="250" t="str">
        <f>IF(COUNTBLANK(F23:M23)&gt;0,$Q$1,'3'!H31/(K23*$F$7))</f>
        <v>-</v>
      </c>
      <c r="O23" s="250" t="str">
        <f>IF(COUNTBLANK(F23:M23)&gt;0,$Q$1,('3'!H31-'3'!G31)/(K23*$F$7))</f>
        <v>-</v>
      </c>
      <c r="P23" s="249" t="str">
        <f t="shared" si="5"/>
        <v>-</v>
      </c>
      <c r="Q23" s="173">
        <f t="shared" si="6"/>
        <v>0</v>
      </c>
      <c r="R23" s="195" t="str">
        <f>Langues1!C576</f>
        <v>En cas d'optimisation de l'exploitation, les mesures par équipement doivent être indiquées.</v>
      </c>
      <c r="S23" s="265"/>
      <c r="V23" s="381"/>
      <c r="W23" s="381"/>
      <c r="X23" s="384"/>
      <c r="Y23" s="381"/>
    </row>
    <row r="24" spans="1:25" s="140" customFormat="1" ht="20.149999999999999" customHeight="1" x14ac:dyDescent="0.3">
      <c r="A24" s="534"/>
      <c r="B24" s="175"/>
      <c r="C24" s="560" t="str">
        <f>'3'!C32</f>
        <v>Ecrire le titre de la mesure de soutien 6</v>
      </c>
      <c r="D24" s="560"/>
      <c r="E24" s="153">
        <f>'3'!E32</f>
        <v>0</v>
      </c>
      <c r="F24" s="194"/>
      <c r="G24" s="240">
        <f t="shared" si="1"/>
        <v>0</v>
      </c>
      <c r="H24" s="194"/>
      <c r="I24" s="240">
        <f t="shared" si="2"/>
        <v>0</v>
      </c>
      <c r="J24" s="271">
        <v>0.75</v>
      </c>
      <c r="K24" s="249" t="str">
        <f t="shared" si="3"/>
        <v>-</v>
      </c>
      <c r="L24" s="240">
        <f>IF(E24&gt;0,VLOOKUP('3'!D32,Liste_techno,2,FALSE),0)</f>
        <v>0</v>
      </c>
      <c r="M24" s="249" t="str">
        <f t="shared" si="4"/>
        <v>-</v>
      </c>
      <c r="N24" s="250" t="str">
        <f>IF(COUNTBLANK(F24:M24)&gt;0,$Q$1,'3'!H32/(K24*$F$7))</f>
        <v>-</v>
      </c>
      <c r="O24" s="250" t="str">
        <f>IF(COUNTBLANK(F24:M24)&gt;0,$Q$1,('3'!H32-'3'!G32)/(K24*$F$7))</f>
        <v>-</v>
      </c>
      <c r="P24" s="249" t="str">
        <f t="shared" si="5"/>
        <v>-</v>
      </c>
      <c r="Q24" s="173">
        <f t="shared" si="6"/>
        <v>0</v>
      </c>
      <c r="S24" s="265"/>
      <c r="V24" s="381"/>
      <c r="W24" s="381"/>
      <c r="X24" s="384"/>
      <c r="Y24" s="381"/>
    </row>
    <row r="25" spans="1:25" s="140" customFormat="1" ht="20.149999999999999" customHeight="1" x14ac:dyDescent="0.3">
      <c r="A25" s="534"/>
      <c r="B25" s="174"/>
      <c r="C25" s="560" t="str">
        <f>'3'!C33</f>
        <v>Ecrire le titre de la mesure de soutien 7</v>
      </c>
      <c r="D25" s="560"/>
      <c r="E25" s="153">
        <f>'3'!E33</f>
        <v>0</v>
      </c>
      <c r="F25" s="194"/>
      <c r="G25" s="240">
        <f t="shared" si="1"/>
        <v>0</v>
      </c>
      <c r="H25" s="194"/>
      <c r="I25" s="240">
        <f t="shared" si="2"/>
        <v>0</v>
      </c>
      <c r="J25" s="271">
        <v>0.75</v>
      </c>
      <c r="K25" s="249" t="str">
        <f t="shared" si="3"/>
        <v>-</v>
      </c>
      <c r="L25" s="240">
        <f>IF(E25&gt;0,VLOOKUP('3'!D33,Liste_techno,2,FALSE),0)</f>
        <v>0</v>
      </c>
      <c r="M25" s="249" t="str">
        <f t="shared" si="4"/>
        <v>-</v>
      </c>
      <c r="N25" s="250" t="str">
        <f>IF(COUNTBLANK(F25:M25)&gt;0,$Q$1,'3'!H33/(K25*$F$7))</f>
        <v>-</v>
      </c>
      <c r="O25" s="250" t="str">
        <f>IF(COUNTBLANK(F25:M25)&gt;0,$Q$1,('3'!H33-'3'!G33)/(K25*$F$7))</f>
        <v>-</v>
      </c>
      <c r="P25" s="249" t="str">
        <f t="shared" si="5"/>
        <v>-</v>
      </c>
      <c r="Q25" s="173">
        <f t="shared" si="6"/>
        <v>0</v>
      </c>
      <c r="S25" s="265"/>
      <c r="V25" s="381"/>
      <c r="W25" s="381"/>
      <c r="X25" s="384"/>
      <c r="Y25" s="381"/>
    </row>
    <row r="26" spans="1:25" s="140" customFormat="1" ht="20.149999999999999" customHeight="1" x14ac:dyDescent="0.3">
      <c r="A26" s="534"/>
      <c r="B26" s="174"/>
      <c r="C26" s="560" t="str">
        <f>'3'!C34</f>
        <v>Ecrire le titre de la mesure de soutien 8</v>
      </c>
      <c r="D26" s="560"/>
      <c r="E26" s="153">
        <f>'3'!E34</f>
        <v>0</v>
      </c>
      <c r="F26" s="194"/>
      <c r="G26" s="240">
        <f t="shared" si="1"/>
        <v>0</v>
      </c>
      <c r="H26" s="194"/>
      <c r="I26" s="240">
        <f t="shared" si="2"/>
        <v>0</v>
      </c>
      <c r="J26" s="271">
        <v>0.75</v>
      </c>
      <c r="K26" s="249" t="str">
        <f t="shared" si="3"/>
        <v>-</v>
      </c>
      <c r="L26" s="240">
        <f>IF(E26&gt;0,VLOOKUP('3'!D34,Liste_techno,2,FALSE),0)</f>
        <v>0</v>
      </c>
      <c r="M26" s="249" t="str">
        <f t="shared" si="4"/>
        <v>-</v>
      </c>
      <c r="N26" s="250" t="str">
        <f>IF(COUNTBLANK(F26:M26)&gt;0,$Q$1,'3'!H34/(K26*$F$7))</f>
        <v>-</v>
      </c>
      <c r="O26" s="250" t="str">
        <f>IF(COUNTBLANK(F26:M26)&gt;0,$Q$1,('3'!H34-'3'!G34)/(K26*$F$7))</f>
        <v>-</v>
      </c>
      <c r="P26" s="249" t="str">
        <f t="shared" si="5"/>
        <v>-</v>
      </c>
      <c r="Q26" s="173">
        <f t="shared" si="6"/>
        <v>0</v>
      </c>
      <c r="S26" s="265"/>
      <c r="V26" s="381"/>
      <c r="W26" s="381"/>
      <c r="X26" s="384"/>
      <c r="Y26" s="381"/>
    </row>
    <row r="27" spans="1:25" s="140" customFormat="1" ht="20.149999999999999" customHeight="1" x14ac:dyDescent="0.3">
      <c r="A27" s="535"/>
      <c r="B27" s="174"/>
      <c r="C27" s="560" t="str">
        <f>'3'!C35</f>
        <v>Analyse</v>
      </c>
      <c r="D27" s="560"/>
      <c r="E27" s="153">
        <f>'3'!E35</f>
        <v>0</v>
      </c>
      <c r="F27" s="153"/>
      <c r="G27" s="153"/>
      <c r="H27" s="153"/>
      <c r="I27" s="153"/>
      <c r="J27" s="153"/>
      <c r="K27" s="205"/>
      <c r="L27" s="153"/>
      <c r="M27" s="205"/>
      <c r="N27" s="206"/>
      <c r="O27" s="206"/>
      <c r="P27" s="205"/>
      <c r="S27" s="265"/>
      <c r="U27" s="183"/>
      <c r="V27" s="382"/>
      <c r="W27" s="381"/>
      <c r="X27" s="381"/>
      <c r="Y27" s="381"/>
    </row>
    <row r="28" spans="1:25" s="140" customFormat="1" ht="20.149999999999999" customHeight="1" x14ac:dyDescent="0.3">
      <c r="E28" s="212" t="str">
        <f>Langues1!C543</f>
        <v>Moyennes pondérées</v>
      </c>
      <c r="F28" s="251" t="e">
        <f>SUMPRODUCT(E19:E26,F19:F26)/SUM(E19:E26)</f>
        <v>#DIV/0!</v>
      </c>
      <c r="G28" s="190"/>
      <c r="H28" s="251" t="e">
        <f>SUMPRODUCT(E19:E26,H19:H26)/SUM(E19:E26)</f>
        <v>#DIV/0!</v>
      </c>
      <c r="I28" s="190"/>
      <c r="J28" s="210"/>
      <c r="L28" s="253">
        <f>IF(SUM(M19:M26)=0,0,SUMPRODUCT(M19:M26,L19:L26)/SUM(M19:M26))</f>
        <v>0</v>
      </c>
      <c r="N28" s="254">
        <f>IF(M30=0,0,'3'!J36/M30)</f>
        <v>0</v>
      </c>
      <c r="O28" s="255">
        <f>IF(M30=0,0,('3'!J36-'3'!Q36)/M30)</f>
        <v>0</v>
      </c>
      <c r="S28" s="265"/>
      <c r="V28" s="382"/>
      <c r="W28" s="381"/>
      <c r="X28" s="381"/>
      <c r="Y28" s="381"/>
    </row>
    <row r="29" spans="1:25" s="140" customFormat="1" ht="20.149999999999999" customHeight="1" x14ac:dyDescent="0.3">
      <c r="E29" s="184" t="str">
        <f>Langues1!C578</f>
        <v>Total</v>
      </c>
      <c r="F29" s="190"/>
      <c r="G29" s="251">
        <f>SUM(G19:G26)</f>
        <v>0</v>
      </c>
      <c r="H29" s="190"/>
      <c r="I29" s="251">
        <f>SUMPRODUCT(I19:I26)</f>
        <v>0</v>
      </c>
      <c r="M29" s="251">
        <f>SUM(M19:M26)</f>
        <v>0</v>
      </c>
      <c r="P29" s="209">
        <f>SUM(P11:P26)</f>
        <v>0</v>
      </c>
      <c r="S29" s="265"/>
      <c r="V29" s="183"/>
    </row>
    <row r="30" spans="1:25" s="140" customFormat="1" ht="20.149999999999999" customHeight="1" x14ac:dyDescent="0.3">
      <c r="E30" s="184" t="s">
        <v>1375</v>
      </c>
      <c r="F30" s="251" t="e">
        <f>F28*$F$7</f>
        <v>#DIV/0!</v>
      </c>
      <c r="G30" s="251">
        <f>G29*$F$7</f>
        <v>0</v>
      </c>
      <c r="H30" s="251" t="e">
        <f>H28*$F$7</f>
        <v>#DIV/0!</v>
      </c>
      <c r="I30" s="251">
        <f>I29*$F$7</f>
        <v>0</v>
      </c>
      <c r="M30" s="251">
        <f>M29*$F$7</f>
        <v>0</v>
      </c>
      <c r="P30" s="251">
        <f>P29*$F$7</f>
        <v>0</v>
      </c>
      <c r="S30" s="265"/>
    </row>
    <row r="31" spans="1:25" s="140" customFormat="1" ht="20.149999999999999" customHeight="1" x14ac:dyDescent="0.3">
      <c r="M31" s="252"/>
      <c r="P31" s="208" t="e">
        <f>P29/SUMPRODUCT(E19:E27,F19:F27,L19:L27)</f>
        <v>#DIV/0!</v>
      </c>
      <c r="S31" s="265"/>
    </row>
    <row r="32" spans="1:25" s="140" customFormat="1" ht="95.25" customHeight="1" x14ac:dyDescent="0.3">
      <c r="D32" s="213" t="str">
        <f>Langues1!C548</f>
        <v>Commentaire(s)</v>
      </c>
      <c r="E32" s="561"/>
      <c r="F32" s="562"/>
      <c r="G32" s="562"/>
      <c r="H32" s="562"/>
      <c r="I32" s="562"/>
      <c r="J32" s="562"/>
      <c r="K32" s="562"/>
      <c r="L32" s="562"/>
      <c r="M32" s="562"/>
      <c r="N32" s="562"/>
      <c r="O32" s="562"/>
      <c r="P32" s="563"/>
      <c r="S32" s="265"/>
    </row>
    <row r="33" spans="17:19" s="140" customFormat="1" x14ac:dyDescent="0.3">
      <c r="S33" s="265"/>
    </row>
    <row r="34" spans="17:19" s="140" customFormat="1" x14ac:dyDescent="0.3">
      <c r="S34" s="265"/>
    </row>
    <row r="35" spans="17:19" s="140" customFormat="1" x14ac:dyDescent="0.3">
      <c r="S35" s="265"/>
    </row>
    <row r="36" spans="17:19" s="140" customFormat="1" x14ac:dyDescent="0.3">
      <c r="S36" s="265"/>
    </row>
    <row r="37" spans="17:19" s="140" customFormat="1" x14ac:dyDescent="0.3">
      <c r="S37" s="265"/>
    </row>
    <row r="38" spans="17:19" x14ac:dyDescent="0.3">
      <c r="Q38" s="140"/>
    </row>
    <row r="39" spans="17:19" x14ac:dyDescent="0.3">
      <c r="Q39" s="140"/>
    </row>
    <row r="40" spans="17:19" x14ac:dyDescent="0.3">
      <c r="Q40" s="140"/>
    </row>
    <row r="41" spans="17:19" x14ac:dyDescent="0.3">
      <c r="Q41" s="168"/>
    </row>
    <row r="42" spans="17:19" x14ac:dyDescent="0.3">
      <c r="Q42" s="168"/>
    </row>
    <row r="43" spans="17:19" x14ac:dyDescent="0.3">
      <c r="Q43" s="140"/>
    </row>
    <row r="44" spans="17:19" x14ac:dyDescent="0.3">
      <c r="Q44" s="140"/>
    </row>
    <row r="45" spans="17:19" x14ac:dyDescent="0.3">
      <c r="Q45" s="140"/>
    </row>
    <row r="50" spans="6:6" x14ac:dyDescent="0.3">
      <c r="F50" s="265"/>
    </row>
  </sheetData>
  <sheetProtection algorithmName="SHA-512" hashValue="j8L8k7ztBhYWWwmpQy6+eYFKibGvr9YrHIrjTO6SeJfT/KaBkcPKhvaoCMKMKISUmFYPGl1Pt7bjZ6QGHtKN6Q==" saltValue="fPA/IbZjjHpa7yUKU3ajJQ==" spinCount="100000" sheet="1" objects="1" scenarios="1" formatCells="0" formatColumns="0" formatRows="0"/>
  <mergeCells count="30">
    <mergeCell ref="E32:P32"/>
    <mergeCell ref="C23:D23"/>
    <mergeCell ref="C24:D24"/>
    <mergeCell ref="D2:O2"/>
    <mergeCell ref="C25:D25"/>
    <mergeCell ref="C26:D26"/>
    <mergeCell ref="C27:D27"/>
    <mergeCell ref="C10:D10"/>
    <mergeCell ref="C9:D9"/>
    <mergeCell ref="B4:C4"/>
    <mergeCell ref="B1:C2"/>
    <mergeCell ref="B3:C3"/>
    <mergeCell ref="C18:D18"/>
    <mergeCell ref="C7:D7"/>
    <mergeCell ref="R19:R20"/>
    <mergeCell ref="R21:R22"/>
    <mergeCell ref="R2:R6"/>
    <mergeCell ref="A11:A17"/>
    <mergeCell ref="C11:D11"/>
    <mergeCell ref="C12:D12"/>
    <mergeCell ref="C13:D13"/>
    <mergeCell ref="C14:D14"/>
    <mergeCell ref="C17:D17"/>
    <mergeCell ref="C15:D15"/>
    <mergeCell ref="C16:D16"/>
    <mergeCell ref="A19:A27"/>
    <mergeCell ref="C19:D19"/>
    <mergeCell ref="C20:D20"/>
    <mergeCell ref="C21:D21"/>
    <mergeCell ref="C22:D22"/>
  </mergeCells>
  <conditionalFormatting sqref="P2">
    <cfRule type="cellIs" dxfId="43" priority="76" stopIfTrue="1" operator="notEqual">
      <formula>0</formula>
    </cfRule>
    <cfRule type="cellIs" dxfId="42" priority="77" stopIfTrue="1" operator="equal">
      <formula>0</formula>
    </cfRule>
  </conditionalFormatting>
  <conditionalFormatting sqref="B17 B27">
    <cfRule type="expression" dxfId="41" priority="75" stopIfTrue="1">
      <formula>U17&lt;&gt;0</formula>
    </cfRule>
  </conditionalFormatting>
  <conditionalFormatting sqref="B12:B16">
    <cfRule type="expression" dxfId="40" priority="73" stopIfTrue="1">
      <formula>U12&lt;&gt;0</formula>
    </cfRule>
  </conditionalFormatting>
  <conditionalFormatting sqref="Q23:Q24">
    <cfRule type="cellIs" dxfId="39" priority="28" stopIfTrue="1" operator="notEqual">
      <formula>0</formula>
    </cfRule>
    <cfRule type="cellIs" dxfId="38" priority="29" stopIfTrue="1" operator="equal">
      <formula>0</formula>
    </cfRule>
  </conditionalFormatting>
  <conditionalFormatting sqref="Q23:Q24">
    <cfRule type="cellIs" dxfId="37" priority="30" stopIfTrue="1" operator="notEqual">
      <formula>0</formula>
    </cfRule>
    <cfRule type="cellIs" dxfId="36" priority="31" stopIfTrue="1" operator="equal">
      <formula>0</formula>
    </cfRule>
  </conditionalFormatting>
  <conditionalFormatting sqref="Q26">
    <cfRule type="cellIs" dxfId="35" priority="26" stopIfTrue="1" operator="notEqual">
      <formula>0</formula>
    </cfRule>
    <cfRule type="cellIs" dxfId="34" priority="27" stopIfTrue="1" operator="equal">
      <formula>0</formula>
    </cfRule>
  </conditionalFormatting>
  <conditionalFormatting sqref="Q19:Q26">
    <cfRule type="cellIs" dxfId="33" priority="18" stopIfTrue="1" operator="notEqual">
      <formula>0</formula>
    </cfRule>
    <cfRule type="cellIs" dxfId="32" priority="19" stopIfTrue="1" operator="equal">
      <formula>0</formula>
    </cfRule>
  </conditionalFormatting>
  <conditionalFormatting sqref="Q19:Q26">
    <cfRule type="cellIs" dxfId="31" priority="20" stopIfTrue="1" operator="notEqual">
      <formula>0</formula>
    </cfRule>
    <cfRule type="cellIs" dxfId="30" priority="21" stopIfTrue="1" operator="equal">
      <formula>0</formula>
    </cfRule>
  </conditionalFormatting>
  <conditionalFormatting sqref="B11">
    <cfRule type="expression" dxfId="29" priority="17" stopIfTrue="1">
      <formula>U11&lt;&gt;0</formula>
    </cfRule>
  </conditionalFormatting>
  <conditionalFormatting sqref="B25:B26">
    <cfRule type="expression" dxfId="28" priority="115" stopIfTrue="1">
      <formula>#REF!&lt;&gt;0</formula>
    </cfRule>
  </conditionalFormatting>
  <conditionalFormatting sqref="K19:K26">
    <cfRule type="cellIs" dxfId="27" priority="16" operator="lessThan">
      <formula>0</formula>
    </cfRule>
  </conditionalFormatting>
  <conditionalFormatting sqref="Q7">
    <cfRule type="cellIs" dxfId="26" priority="6" stopIfTrue="1" operator="notEqual">
      <formula>0</formula>
    </cfRule>
    <cfRule type="cellIs" dxfId="25" priority="7" stopIfTrue="1" operator="equal">
      <formula>0</formula>
    </cfRule>
  </conditionalFormatting>
  <conditionalFormatting sqref="Q7">
    <cfRule type="cellIs" dxfId="24" priority="8" stopIfTrue="1" operator="notEqual">
      <formula>0</formula>
    </cfRule>
    <cfRule type="cellIs" dxfId="23" priority="9" stopIfTrue="1" operator="equal">
      <formula>0</formula>
    </cfRule>
  </conditionalFormatting>
  <conditionalFormatting sqref="Q7">
    <cfRule type="cellIs" dxfId="22" priority="2" stopIfTrue="1" operator="notEqual">
      <formula>0</formula>
    </cfRule>
    <cfRule type="cellIs" dxfId="21" priority="3" stopIfTrue="1" operator="equal">
      <formula>0</formula>
    </cfRule>
  </conditionalFormatting>
  <conditionalFormatting sqref="Q7">
    <cfRule type="cellIs" dxfId="20" priority="4" stopIfTrue="1" operator="notEqual">
      <formula>0</formula>
    </cfRule>
    <cfRule type="cellIs" dxfId="19" priority="5" stopIfTrue="1" operator="equal">
      <formula>0</formula>
    </cfRule>
  </conditionalFormatting>
  <conditionalFormatting sqref="J19:J26">
    <cfRule type="cellIs" dxfId="18" priority="1" operator="lessThan">
      <formula>0</formula>
    </cfRule>
  </conditionalFormatting>
  <pageMargins left="0.78740157480314965" right="0.59055118110236227" top="0.74803149606299213" bottom="0.74803149606299213" header="0.31496062992125984" footer="0.31496062992125984"/>
  <pageSetup paperSize="9" scale="4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Ctrl!$B$20:$C$20</xm:f>
          </x14:formula1>
          <xm:sqref>F7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3">
    <pageSetUpPr fitToPage="1"/>
  </sheetPr>
  <dimension ref="A1:N17"/>
  <sheetViews>
    <sheetView workbookViewId="0">
      <pane ySplit="4" topLeftCell="A5" activePane="bottomLeft" state="frozen"/>
      <selection activeCell="E21" sqref="E21"/>
      <selection pane="bottomLeft" activeCell="G7" sqref="G7"/>
    </sheetView>
  </sheetViews>
  <sheetFormatPr baseColWidth="10" defaultColWidth="11.3828125" defaultRowHeight="12.45" x14ac:dyDescent="0.3"/>
  <cols>
    <col min="1" max="1" width="4.53515625" style="9" bestFit="1" customWidth="1"/>
    <col min="2" max="5" width="20.69140625" style="9" customWidth="1"/>
    <col min="6" max="6" width="5.53515625" style="9" customWidth="1"/>
    <col min="7" max="7" width="58.53515625" style="9" customWidth="1"/>
    <col min="8" max="11" width="11.3828125" style="9"/>
    <col min="12" max="14" width="11.3828125" style="9" hidden="1" customWidth="1"/>
    <col min="15" max="16384" width="11.3828125" style="9"/>
  </cols>
  <sheetData>
    <row r="1" spans="1:13" ht="24.75" customHeight="1" x14ac:dyDescent="0.3">
      <c r="A1" s="468"/>
      <c r="B1" s="469"/>
      <c r="C1" s="472" t="str">
        <f>Menu!C19</f>
        <v>Acceptation et remarques</v>
      </c>
      <c r="D1" s="473"/>
      <c r="E1" s="474"/>
      <c r="G1" s="35" t="str">
        <f>'2'!G1</f>
        <v>Indications et explications</v>
      </c>
    </row>
    <row r="2" spans="1:13" ht="21" customHeight="1" x14ac:dyDescent="0.3">
      <c r="A2" s="470"/>
      <c r="B2" s="471"/>
      <c r="C2" s="475" t="str">
        <f>'2'!C2</f>
        <v>Statut</v>
      </c>
      <c r="D2" s="491"/>
      <c r="E2" s="1">
        <f>SUM(F7:F10)</f>
        <v>2</v>
      </c>
    </row>
    <row r="3" spans="1:13" x14ac:dyDescent="0.3">
      <c r="A3" s="480" t="str">
        <f>'0'!A3</f>
        <v>Partenaire principal</v>
      </c>
      <c r="B3" s="481"/>
      <c r="C3" s="478">
        <f>'2'!C7</f>
        <v>0</v>
      </c>
      <c r="D3" s="482"/>
      <c r="E3" s="1"/>
    </row>
    <row r="4" spans="1:13" x14ac:dyDescent="0.3">
      <c r="A4" s="480" t="str">
        <f>'0'!A4</f>
        <v>Acronyme du programme</v>
      </c>
      <c r="B4" s="481"/>
      <c r="C4" s="478">
        <f>'1'!C8</f>
        <v>0</v>
      </c>
      <c r="D4" s="482"/>
      <c r="E4" s="1"/>
    </row>
    <row r="6" spans="1:13" x14ac:dyDescent="0.3">
      <c r="A6" s="16">
        <v>5.0999999999999996</v>
      </c>
      <c r="B6" s="574" t="str">
        <f>Langues1!C470</f>
        <v>Acceptation</v>
      </c>
      <c r="C6" s="574"/>
      <c r="D6" s="574"/>
      <c r="E6" s="574"/>
      <c r="G6" s="11"/>
    </row>
    <row r="7" spans="1:13" ht="80.150000000000006" customHeight="1" x14ac:dyDescent="0.3">
      <c r="A7" s="14"/>
      <c r="B7" s="567" t="str">
        <f>Langues1!C471</f>
        <v>Le requérant confirme en écrivant OUI et en apposant une signature valide légalement qu'il a lu et accepté les «Conditions pour la soumission des projets et programmes en 2019».</v>
      </c>
      <c r="C7" s="567"/>
      <c r="D7" s="567"/>
      <c r="E7" s="99"/>
      <c r="F7" s="5">
        <f>COUNTBLANK(C7)*IF(E7=M7,0,1)</f>
        <v>1</v>
      </c>
      <c r="G7" s="17" t="str">
        <f>Langues1!C477</f>
        <v>L'appel d'offres et les conditions pour la soumission des projets et programmes en 2019 à respecter impérativement peuvent être téléchargés sur le site www.prokw.ch.</v>
      </c>
      <c r="M7" s="9" t="str">
        <f>Langues1!C64</f>
        <v>oui</v>
      </c>
    </row>
    <row r="9" spans="1:13" x14ac:dyDescent="0.3">
      <c r="A9" s="18">
        <v>5.2</v>
      </c>
      <c r="B9" s="11" t="str">
        <f>Langues1!C472</f>
        <v>Les indications sont exactes, complètes et vérifiables</v>
      </c>
    </row>
    <row r="10" spans="1:13" ht="100" customHeight="1" x14ac:dyDescent="0.3">
      <c r="A10" s="14"/>
      <c r="B10" s="568" t="str">
        <f>Langues1!C473</f>
        <v>Le requérant confirme en écrivant OUI et en apposant sa signature authentique que les indications fournies sont exactes et complètes. Le requérant garantit à l'expert indépendant mandaté de pouvoir, le cas échéant, consulter les documents nécessaires pour vérifier l'évolution de référence, les économies d'électricité des modèles quantitatifs et les informations utilisées.</v>
      </c>
      <c r="C10" s="569"/>
      <c r="D10" s="570"/>
      <c r="E10" s="99"/>
      <c r="F10" s="5">
        <f>COUNTBLANK(C10)*IF(E10=M10,0,1)</f>
        <v>1</v>
      </c>
      <c r="G10" s="17"/>
      <c r="M10" s="9" t="str">
        <f>Langues1!C64</f>
        <v>oui</v>
      </c>
    </row>
    <row r="11" spans="1:13" ht="12.75" customHeight="1" x14ac:dyDescent="0.3">
      <c r="A11" s="3"/>
      <c r="B11" s="19"/>
      <c r="C11" s="19"/>
      <c r="D11" s="19"/>
      <c r="E11" s="19"/>
      <c r="G11" s="17"/>
    </row>
    <row r="12" spans="1:13" ht="12.75" customHeight="1" x14ac:dyDescent="0.3">
      <c r="A12" s="73">
        <v>6.1</v>
      </c>
      <c r="B12" s="575" t="str">
        <f>Langues1!C497</f>
        <v>Remarques concernant la demande</v>
      </c>
      <c r="C12" s="575"/>
      <c r="D12" s="575"/>
      <c r="E12" s="575"/>
      <c r="F12" s="71"/>
      <c r="G12" s="17"/>
    </row>
    <row r="13" spans="1:13" ht="108.75" customHeight="1" x14ac:dyDescent="0.3">
      <c r="A13" s="95"/>
      <c r="B13" s="571"/>
      <c r="C13" s="572"/>
      <c r="D13" s="572"/>
      <c r="E13" s="573"/>
      <c r="F13" s="5">
        <v>0</v>
      </c>
    </row>
    <row r="14" spans="1:13" x14ac:dyDescent="0.3">
      <c r="A14" s="71"/>
      <c r="B14" s="71"/>
      <c r="C14" s="71"/>
      <c r="D14" s="71"/>
      <c r="E14" s="71"/>
      <c r="F14" s="71"/>
    </row>
    <row r="15" spans="1:13" x14ac:dyDescent="0.3">
      <c r="A15" s="76">
        <v>6.2</v>
      </c>
      <c r="B15" s="74" t="str">
        <f>Langues1!C498</f>
        <v>Suggestions concernant les documents de l'appel d'offres</v>
      </c>
      <c r="C15" s="71"/>
      <c r="D15" s="71"/>
      <c r="E15" s="71"/>
      <c r="F15" s="71"/>
    </row>
    <row r="16" spans="1:13" ht="96.75" customHeight="1" x14ac:dyDescent="0.3">
      <c r="A16" s="95"/>
      <c r="B16" s="571"/>
      <c r="C16" s="572"/>
      <c r="D16" s="572"/>
      <c r="E16" s="573"/>
      <c r="F16" s="5">
        <v>0</v>
      </c>
    </row>
    <row r="17" spans="1:5" ht="12.75" customHeight="1" x14ac:dyDescent="0.3">
      <c r="A17" s="11"/>
      <c r="B17" s="20"/>
      <c r="C17" s="20"/>
      <c r="D17" s="20"/>
      <c r="E17" s="20"/>
    </row>
  </sheetData>
  <sheetProtection algorithmName="SHA-512" hashValue="XOozNLMzx8+9GKNHlDsIPasph0/Jp1N8bUevEibSeDkw3IM1DEn65Ax6UrqYhX1pHr8NvUj8XcMd72lnRxXbfw==" saltValue="C2MbaDirrRE1GtL/a1PWiA==" spinCount="100000" sheet="1" objects="1" scenarios="1" formatCells="0" formatColumns="0" formatRows="0"/>
  <mergeCells count="13">
    <mergeCell ref="B7:D7"/>
    <mergeCell ref="B10:D10"/>
    <mergeCell ref="B16:E16"/>
    <mergeCell ref="C1:E1"/>
    <mergeCell ref="C4:D4"/>
    <mergeCell ref="B6:E6"/>
    <mergeCell ref="A1:B2"/>
    <mergeCell ref="C2:D2"/>
    <mergeCell ref="C3:D3"/>
    <mergeCell ref="A3:B3"/>
    <mergeCell ref="A4:B4"/>
    <mergeCell ref="B12:E12"/>
    <mergeCell ref="B13:E13"/>
  </mergeCells>
  <phoneticPr fontId="21" type="noConversion"/>
  <conditionalFormatting sqref="F7">
    <cfRule type="cellIs" dxfId="17" priority="13" stopIfTrue="1" operator="notEqual">
      <formula>0</formula>
    </cfRule>
    <cfRule type="cellIs" dxfId="16" priority="14" stopIfTrue="1" operator="equal">
      <formula>0</formula>
    </cfRule>
  </conditionalFormatting>
  <conditionalFormatting sqref="F10">
    <cfRule type="cellIs" dxfId="15" priority="9" stopIfTrue="1" operator="notEqual">
      <formula>0</formula>
    </cfRule>
    <cfRule type="cellIs" dxfId="14" priority="10" stopIfTrue="1" operator="equal">
      <formula>0</formula>
    </cfRule>
  </conditionalFormatting>
  <conditionalFormatting sqref="E2">
    <cfRule type="cellIs" dxfId="13" priority="7" stopIfTrue="1" operator="notEqual">
      <formula>0</formula>
    </cfRule>
    <cfRule type="cellIs" dxfId="12" priority="8" stopIfTrue="1" operator="equal">
      <formula>0</formula>
    </cfRule>
  </conditionalFormatting>
  <conditionalFormatting sqref="F16">
    <cfRule type="cellIs" dxfId="11" priority="3" stopIfTrue="1" operator="notEqual">
      <formula>0</formula>
    </cfRule>
    <cfRule type="cellIs" dxfId="10" priority="4" stopIfTrue="1" operator="equal">
      <formula>0</formula>
    </cfRule>
  </conditionalFormatting>
  <conditionalFormatting sqref="F13">
    <cfRule type="cellIs" dxfId="9" priority="1" stopIfTrue="1" operator="notEqual">
      <formula>0</formula>
    </cfRule>
    <cfRule type="cellIs" dxfId="8" priority="2" stopIfTrue="1" operator="equal">
      <formula>0</formula>
    </cfRule>
  </conditionalFormatting>
  <pageMargins left="0.78740157480314965" right="0.59055118110236227" top="0.74803149606299213" bottom="0.74803149606299213"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Langues1!$C$64:$C$65</xm:f>
          </x14:formula1>
          <xm:sqref>E10 E7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2"/>
  <dimension ref="A1:F592"/>
  <sheetViews>
    <sheetView workbookViewId="0">
      <selection activeCell="C23" sqref="C23"/>
    </sheetView>
  </sheetViews>
  <sheetFormatPr baseColWidth="10" defaultColWidth="11.3828125" defaultRowHeight="12.45" x14ac:dyDescent="0.3"/>
  <cols>
    <col min="1" max="1" width="72.15234375" style="25" customWidth="1"/>
    <col min="2" max="2" width="32.84375" style="25" customWidth="1"/>
    <col min="3" max="3" width="21.84375" style="25" customWidth="1"/>
    <col min="4" max="4" width="21.15234375" style="25" customWidth="1"/>
    <col min="5" max="16384" width="11.3828125" style="25"/>
  </cols>
  <sheetData>
    <row r="1" spans="1:6" x14ac:dyDescent="0.3">
      <c r="A1" s="301"/>
    </row>
    <row r="2" spans="1:6" x14ac:dyDescent="0.3">
      <c r="A2" s="301" t="s">
        <v>1891</v>
      </c>
      <c r="B2" s="25" t="s">
        <v>1888</v>
      </c>
      <c r="C2" s="25" t="s">
        <v>1889</v>
      </c>
      <c r="D2" s="25" t="s">
        <v>1890</v>
      </c>
      <c r="F2" s="25" t="s">
        <v>1897</v>
      </c>
    </row>
    <row r="3" spans="1:6" x14ac:dyDescent="0.3">
      <c r="A3" s="265" t="str">
        <f>Langues1!C589</f>
        <v>Programme</v>
      </c>
      <c r="B3" s="378">
        <v>10</v>
      </c>
      <c r="C3" s="378">
        <v>25</v>
      </c>
      <c r="D3" s="25">
        <v>75</v>
      </c>
      <c r="F3" s="25">
        <f>IF('1'!C9=Ctrl!A3,1,0)</f>
        <v>1</v>
      </c>
    </row>
    <row r="4" spans="1:6" x14ac:dyDescent="0.3">
      <c r="A4" s="265" t="str">
        <f>Langues1!C590</f>
        <v>Programme de mise aux enchères de projets</v>
      </c>
      <c r="B4" s="378">
        <v>10</v>
      </c>
      <c r="C4" s="378">
        <v>20</v>
      </c>
      <c r="D4" s="25">
        <v>80</v>
      </c>
      <c r="F4" s="25">
        <f>1-F3</f>
        <v>0</v>
      </c>
    </row>
    <row r="5" spans="1:6" x14ac:dyDescent="0.3">
      <c r="A5" s="265"/>
    </row>
    <row r="8" spans="1:6" x14ac:dyDescent="0.3">
      <c r="A8" s="301" t="s">
        <v>1892</v>
      </c>
    </row>
    <row r="9" spans="1:6" x14ac:dyDescent="0.3">
      <c r="A9" s="25" t="s">
        <v>1894</v>
      </c>
      <c r="B9" s="378">
        <v>150000</v>
      </c>
    </row>
    <row r="10" spans="1:6" x14ac:dyDescent="0.3">
      <c r="A10" s="25" t="s">
        <v>1893</v>
      </c>
      <c r="B10" s="378">
        <v>3000000</v>
      </c>
    </row>
    <row r="12" spans="1:6" x14ac:dyDescent="0.3">
      <c r="A12" s="301" t="s">
        <v>1895</v>
      </c>
    </row>
    <row r="13" spans="1:6" x14ac:dyDescent="0.3">
      <c r="A13" s="25" t="s">
        <v>1888</v>
      </c>
      <c r="B13" s="25">
        <f>IF(F3=1,B3,B4)</f>
        <v>10</v>
      </c>
    </row>
    <row r="14" spans="1:6" x14ac:dyDescent="0.3">
      <c r="A14" s="25" t="s">
        <v>1889</v>
      </c>
      <c r="B14" s="25">
        <v>30</v>
      </c>
    </row>
    <row r="15" spans="1:6" x14ac:dyDescent="0.3">
      <c r="A15" s="25" t="s">
        <v>1890</v>
      </c>
      <c r="B15" s="25">
        <v>70</v>
      </c>
    </row>
    <row r="16" spans="1:6" x14ac:dyDescent="0.3">
      <c r="A16" s="25" t="s">
        <v>1896</v>
      </c>
      <c r="B16" s="378">
        <v>10</v>
      </c>
    </row>
    <row r="20" spans="1:3" x14ac:dyDescent="0.3">
      <c r="A20" s="25" t="s">
        <v>1898</v>
      </c>
      <c r="B20" s="25">
        <v>0.15</v>
      </c>
      <c r="C20" s="380">
        <v>0.2</v>
      </c>
    </row>
    <row r="23" spans="1:3" x14ac:dyDescent="0.3">
      <c r="A23" s="25" t="s">
        <v>1941</v>
      </c>
      <c r="B23" s="70">
        <f>IF('0'!E48&gt;8,1,0)</f>
        <v>0</v>
      </c>
    </row>
    <row r="592" spans="6:6" x14ac:dyDescent="0.3">
      <c r="F592" s="309" t="s">
        <v>1588</v>
      </c>
    </row>
  </sheetData>
  <conditionalFormatting sqref="B23">
    <cfRule type="cellIs" dxfId="7" priority="1" stopIfTrue="1" operator="notEqual">
      <formula>0</formula>
    </cfRule>
    <cfRule type="cellIs" dxfId="6" priority="2" stopIfTrue="1" operator="equal">
      <formula>0</formula>
    </cfRule>
  </conditionalFormatting>
  <dataValidations count="1">
    <dataValidation type="list" allowBlank="1" showInputMessage="1" showErrorMessage="1" sqref="A3:A5" xr:uid="{00000000-0002-0000-0800-000000000000}">
      <formula1>$A$3:$A$4</formula1>
    </dataValidation>
  </dataValidations>
  <pageMargins left="0.7" right="0.7" top="0.75" bottom="0.75"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11</vt:i4>
      </vt:variant>
      <vt:variant>
        <vt:lpstr>Plages nommées</vt:lpstr>
      </vt:variant>
      <vt:variant>
        <vt:i4>9</vt:i4>
      </vt:variant>
    </vt:vector>
  </HeadingPairs>
  <TitlesOfParts>
    <vt:vector size="20" baseType="lpstr">
      <vt:lpstr>Menu</vt:lpstr>
      <vt:lpstr>00</vt:lpstr>
      <vt:lpstr>0</vt:lpstr>
      <vt:lpstr>1</vt:lpstr>
      <vt:lpstr>2</vt:lpstr>
      <vt:lpstr>3</vt:lpstr>
      <vt:lpstr>4</vt:lpstr>
      <vt:lpstr>5</vt:lpstr>
      <vt:lpstr>Ctrl</vt:lpstr>
      <vt:lpstr>Listes_techno</vt:lpstr>
      <vt:lpstr>Langues1</vt:lpstr>
      <vt:lpstr>Liste_techno</vt:lpstr>
      <vt:lpstr>'0'!Zone_d_impression</vt:lpstr>
      <vt:lpstr>'00'!Zone_d_impression</vt:lpstr>
      <vt:lpstr>'1'!Zone_d_impression</vt:lpstr>
      <vt:lpstr>'2'!Zone_d_impression</vt:lpstr>
      <vt:lpstr>'3'!Zone_d_impression</vt:lpstr>
      <vt:lpstr>'4'!Zone_d_impression</vt:lpstr>
      <vt:lpstr>'5'!Zone_d_impression</vt:lpstr>
      <vt:lpstr>Menu!Zone_d_impression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Cornelia Winkler</dc:creator>
  <cp:lastModifiedBy>Jo</cp:lastModifiedBy>
  <cp:lastPrinted>2016-08-22T06:57:17Z</cp:lastPrinted>
  <dcterms:created xsi:type="dcterms:W3CDTF">2004-07-19T13:25:26Z</dcterms:created>
  <dcterms:modified xsi:type="dcterms:W3CDTF">2018-09-24T09:31:26Z</dcterms:modified>
</cp:coreProperties>
</file>